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codeName="ThisWorkbook" defaultThemeVersion="124226"/>
  <mc:AlternateContent xmlns:mc="http://schemas.openxmlformats.org/markup-compatibility/2006">
    <mc:Choice Requires="x15">
      <x15ac:absPath xmlns:x15ac="http://schemas.microsoft.com/office/spreadsheetml/2010/11/ac" url="N:\OrgSI\CC FOGLI INFORMATIVI NEWS\SIMULATORE CALCOLO SPESE FIDO\"/>
    </mc:Choice>
  </mc:AlternateContent>
  <xr:revisionPtr revIDLastSave="0" documentId="13_ncr:1_{C34B58C1-D524-4D59-AB6F-8C1D9D9295C3}" xr6:coauthVersionLast="40" xr6:coauthVersionMax="40" xr10:uidLastSave="{00000000-0000-0000-0000-000000000000}"/>
  <bookViews>
    <workbookView xWindow="-15" yWindow="105" windowWidth="9720" windowHeight="8085" xr2:uid="{00000000-000D-0000-FFFF-FFFF00000000}"/>
  </bookViews>
  <sheets>
    <sheet name="Intro" sheetId="2" r:id="rId1"/>
    <sheet name="Cliente non affidato" sheetId="6" r:id="rId2"/>
    <sheet name="Cliente affidato" sheetId="7" r:id="rId3"/>
    <sheet name="Input" sheetId="1" state="hidden" r:id="rId4"/>
  </sheets>
  <definedNames>
    <definedName name="_xlnm.Print_Area" localSheetId="2">'Cliente affidato'!$B$1:$T$75</definedName>
    <definedName name="_xlnm.Print_Area" localSheetId="1">'Cliente non affidato'!$B$1:$S$55</definedName>
    <definedName name="_xlnm.Print_Area" localSheetId="3">Input!$A$1:$N$157</definedName>
    <definedName name="_xlnm.Print_Area" localSheetId="0">Intro!$B$1:$T$43</definedName>
  </definedNames>
  <calcPr calcId="181029"/>
</workbook>
</file>

<file path=xl/calcChain.xml><?xml version="1.0" encoding="utf-8"?>
<calcChain xmlns="http://schemas.openxmlformats.org/spreadsheetml/2006/main">
  <c r="O46" i="6" l="1"/>
  <c r="L51" i="6" l="1"/>
  <c r="D57" i="1" l="1"/>
  <c r="T43" i="7" l="1"/>
  <c r="C116" i="1" l="1"/>
  <c r="C88" i="1" l="1"/>
  <c r="C94" i="1"/>
  <c r="M68" i="7" l="1"/>
  <c r="E103" i="1" l="1"/>
  <c r="D9" i="1" l="1"/>
  <c r="D7" i="1"/>
  <c r="D63" i="1"/>
  <c r="D73" i="1"/>
  <c r="C103" i="1" s="1"/>
  <c r="D67" i="1"/>
  <c r="C90" i="1" s="1"/>
  <c r="D69" i="1"/>
  <c r="C89" i="1" s="1"/>
  <c r="D65" i="1"/>
  <c r="D114" i="1"/>
  <c r="C101" i="1" s="1"/>
  <c r="D113" i="1"/>
  <c r="C100" i="1" s="1"/>
  <c r="M65" i="7" s="1"/>
  <c r="D35" i="1"/>
  <c r="C23" i="1" s="1"/>
  <c r="D34" i="1"/>
  <c r="C22" i="1" s="1"/>
  <c r="M67" i="7"/>
  <c r="O61" i="7"/>
  <c r="M63" i="7"/>
  <c r="C117" i="1" l="1"/>
  <c r="C102" i="1"/>
  <c r="C130" i="1"/>
  <c r="C31" i="1"/>
  <c r="C47" i="1" s="1"/>
  <c r="F141" i="1"/>
  <c r="E145" i="1" s="1"/>
  <c r="E146" i="1" s="1"/>
  <c r="E147" i="1" s="1"/>
  <c r="E148" i="1" s="1"/>
  <c r="E149" i="1" s="1"/>
  <c r="E150" i="1" s="1"/>
  <c r="E151" i="1" s="1"/>
  <c r="E152" i="1" s="1"/>
  <c r="E153" i="1" s="1"/>
  <c r="E154" i="1" s="1"/>
  <c r="E155" i="1" s="1"/>
  <c r="B155" i="1" s="1"/>
  <c r="L50" i="6"/>
  <c r="L49" i="6"/>
  <c r="C91" i="1"/>
  <c r="B25" i="1"/>
  <c r="D27" i="1" s="1"/>
  <c r="C42" i="1" s="1"/>
  <c r="D71" i="1"/>
  <c r="C115" i="1" s="1"/>
  <c r="D36" i="1"/>
  <c r="C38" i="1" l="1"/>
  <c r="C39" i="1" s="1"/>
  <c r="C41" i="1" s="1"/>
  <c r="M66" i="7"/>
  <c r="C104" i="1"/>
  <c r="C107" i="1"/>
  <c r="C129" i="1" s="1"/>
  <c r="B148" i="1"/>
  <c r="D148" i="1" s="1"/>
  <c r="B154" i="1"/>
  <c r="D154" i="1" s="1"/>
  <c r="D155" i="1"/>
  <c r="B150" i="1"/>
  <c r="D150" i="1" s="1"/>
  <c r="B151" i="1"/>
  <c r="D151" i="1" s="1"/>
  <c r="B147" i="1"/>
  <c r="D147" i="1" s="1"/>
  <c r="B152" i="1"/>
  <c r="D152" i="1" s="1"/>
  <c r="B146" i="1"/>
  <c r="D146" i="1" s="1"/>
  <c r="B153" i="1"/>
  <c r="D153" i="1" s="1"/>
  <c r="B149" i="1"/>
  <c r="D149" i="1" s="1"/>
  <c r="B145" i="1"/>
  <c r="D145" i="1" s="1"/>
  <c r="C48" i="1"/>
  <c r="C49" i="1" s="1"/>
  <c r="T40" i="7" l="1"/>
  <c r="C131" i="1"/>
  <c r="D43" i="1"/>
  <c r="D48" i="1"/>
  <c r="C43" i="1" l="1"/>
  <c r="D47" i="1"/>
  <c r="D49" i="1" s="1"/>
  <c r="E47" i="1" l="1"/>
  <c r="E48" i="1"/>
  <c r="D15" i="1" l="1"/>
  <c r="O33" i="6" s="1"/>
  <c r="D14" i="1"/>
  <c r="O35" i="6" s="1"/>
  <c r="E49" i="1"/>
  <c r="D12" i="1" l="1"/>
  <c r="O30" i="6" s="1"/>
  <c r="B52" i="1" l="1"/>
  <c r="K39" i="6" s="1"/>
  <c r="F52" i="1"/>
  <c r="Q30" i="6" s="1"/>
  <c r="E157" i="1"/>
  <c r="C95" i="1"/>
  <c r="C118" i="1" s="1"/>
  <c r="C132" i="1" l="1"/>
  <c r="C133" i="1" s="1"/>
  <c r="C119" i="1"/>
  <c r="C121" i="1" l="1"/>
  <c r="D129" i="1" s="1"/>
  <c r="F137" i="1"/>
  <c r="B136" i="1"/>
  <c r="L55" i="7" s="1"/>
  <c r="D121" i="1" l="1"/>
  <c r="C122" i="1" s="1"/>
  <c r="D122" i="1" s="1"/>
  <c r="D130" i="1" l="1"/>
  <c r="C123" i="1"/>
  <c r="D131" i="1" s="1"/>
  <c r="D123" i="1" l="1"/>
  <c r="C124" i="1" s="1"/>
  <c r="D132" i="1" s="1"/>
  <c r="D133" i="1" s="1"/>
  <c r="D125" i="1" l="1"/>
  <c r="C125" i="1"/>
  <c r="E132" i="1"/>
  <c r="D76" i="1" s="1"/>
  <c r="R51" i="7" s="1"/>
  <c r="E130" i="1"/>
  <c r="E129" i="1"/>
  <c r="D77" i="1" s="1"/>
  <c r="R45" i="7" s="1"/>
  <c r="E131" i="1"/>
  <c r="D78" i="1" s="1"/>
  <c r="R49" i="7" s="1"/>
  <c r="E110" i="1" l="1"/>
  <c r="D75" i="1"/>
  <c r="R47" i="7" s="1"/>
  <c r="E133" i="1"/>
  <c r="D80" i="1" s="1"/>
  <c r="R43" i="7" l="1"/>
</calcChain>
</file>

<file path=xl/sharedStrings.xml><?xml version="1.0" encoding="utf-8"?>
<sst xmlns="http://schemas.openxmlformats.org/spreadsheetml/2006/main" count="201" uniqueCount="164">
  <si>
    <t xml:space="preserve">Importo dell'apertura di credito </t>
  </si>
  <si>
    <t>Come funziona l'apertura di credito/fido?</t>
  </si>
  <si>
    <t xml:space="preserve"> </t>
  </si>
  <si>
    <t>(1)</t>
  </si>
  <si>
    <t>(2)</t>
  </si>
  <si>
    <t>nominale annuo</t>
  </si>
  <si>
    <t>base gg.</t>
  </si>
  <si>
    <t>calcolo interessi debitori</t>
  </si>
  <si>
    <t>di cui per interessi</t>
  </si>
  <si>
    <t>SCONFINAMENTO DI CLIENTE NON AFFIDATO</t>
  </si>
  <si>
    <t xml:space="preserve">Tasso debitore </t>
  </si>
  <si>
    <t>Utilizzo entro fido</t>
  </si>
  <si>
    <t>Utilizzo extra fido</t>
  </si>
  <si>
    <t>Totale</t>
  </si>
  <si>
    <t>Giorni di riferimento</t>
  </si>
  <si>
    <t>Sì</t>
  </si>
  <si>
    <t>No</t>
  </si>
  <si>
    <t>Accordato</t>
  </si>
  <si>
    <t>di cui per l'utilizzo entro i limiti del fido</t>
  </si>
  <si>
    <t>di cui per l'utilizzo oltre i limiti del fido</t>
  </si>
  <si>
    <t>Hai già un'apertura di credito in conto corrente o intendi chiederne una?</t>
  </si>
  <si>
    <t>A chi è rivolto?</t>
  </si>
  <si>
    <t>Per procedere con le simulazioni, rispondi a queste domande che ti indirizzeranno alla pagina di simulazione ideata per il tuo profilo</t>
  </si>
  <si>
    <t>Che cos'è il calcolatore on-line?</t>
  </si>
  <si>
    <t>Per procedere con le simulazioni, fornisci questi dati</t>
  </si>
  <si>
    <t>indietro</t>
  </si>
  <si>
    <t xml:space="preserve">Importo dello scoperto </t>
  </si>
  <si>
    <t>Durata dello scoperto nell'arco del trimestre solare, in giorni</t>
  </si>
  <si>
    <r>
      <t xml:space="preserve">  Se l'utilizzo del conto è oltre la somma dell'apertura di credito (extra fido), </t>
    </r>
    <r>
      <rPr>
        <sz val="10"/>
        <rFont val="Arial"/>
        <family val="2"/>
      </rPr>
      <t>la banca applica</t>
    </r>
  </si>
  <si>
    <t>Per il calcolo dei costi complessivi sono state applicate le seguenti condizioni, aggiornate al</t>
  </si>
  <si>
    <r>
      <t xml:space="preserve">  Se l'utilizzo del conto è entro il limite dell'apertura di credito, </t>
    </r>
    <r>
      <rPr>
        <sz val="10"/>
        <rFont val="Arial"/>
        <family val="2"/>
      </rPr>
      <t>la banca applica</t>
    </r>
  </si>
  <si>
    <r>
      <t>Il costo complessivo</t>
    </r>
    <r>
      <rPr>
        <sz val="12"/>
        <rFont val="Arial"/>
        <family val="2"/>
      </rPr>
      <t xml:space="preserve"> dello scoperto è pari a:</t>
    </r>
  </si>
  <si>
    <t>Cliente non affidato.</t>
  </si>
  <si>
    <t>Utilizzo entro i limiti del fido</t>
  </si>
  <si>
    <t>Importo dell'utilizzo</t>
  </si>
  <si>
    <t>Tasso debitore nominale annuo</t>
  </si>
  <si>
    <r>
      <t>Il costo complessivo</t>
    </r>
    <r>
      <rPr>
        <sz val="12"/>
        <rFont val="Arial"/>
        <family val="2"/>
      </rPr>
      <t xml:space="preserve"> dell'utilizzo simulato è pari a:</t>
    </r>
  </si>
  <si>
    <r>
      <t xml:space="preserve">Interessi debitori </t>
    </r>
    <r>
      <rPr>
        <sz val="10"/>
        <rFont val="Arial"/>
        <family val="2"/>
      </rPr>
      <t>calcolati al tasso debitore, applicato per l'utilizzo del credito concesso (il "tasso debitore").</t>
    </r>
  </si>
  <si>
    <t>Durata dell' utilizzo, in giorni</t>
  </si>
  <si>
    <t xml:space="preserve">indietro    </t>
  </si>
  <si>
    <t>Importo</t>
  </si>
  <si>
    <t>Numero di giorni</t>
  </si>
  <si>
    <t>Il costo totale dello sconfinamento è pari a</t>
  </si>
  <si>
    <t>CONDIZIONI AGGIORNATE AL</t>
  </si>
  <si>
    <t>Informazioni in chiaro</t>
  </si>
  <si>
    <t>Condizioni e calcoli</t>
  </si>
  <si>
    <t>Interessi su saldo debitore:</t>
  </si>
  <si>
    <t>Utilizzo medio trimestrale entro i limiti del fido</t>
  </si>
  <si>
    <t>Utilizzo medio trimestrale oltre i limiti del fido</t>
  </si>
  <si>
    <t>Interessi entro fido</t>
  </si>
  <si>
    <t>Controllo limiti usura:</t>
  </si>
  <si>
    <t>Scoperto &lt;= € 1500</t>
  </si>
  <si>
    <t>Scoperto &gt; 1500</t>
  </si>
  <si>
    <t>Tasso medio base annua</t>
  </si>
  <si>
    <t>Interesse usurario</t>
  </si>
  <si>
    <t>totale</t>
  </si>
  <si>
    <t>Interessi</t>
  </si>
  <si>
    <t>"Costi" a carico cliente a valle eventuali abbattimenti</t>
  </si>
  <si>
    <t>Non usura</t>
  </si>
  <si>
    <t>Usura</t>
  </si>
  <si>
    <t>Effettivo</t>
  </si>
  <si>
    <t>Nuovo TEG</t>
  </si>
  <si>
    <t>Importi post abbattimenti</t>
  </si>
  <si>
    <t>(b2) Differenza TEG - soglia di usura</t>
  </si>
  <si>
    <t>(b1) Calcolo del TEG</t>
  </si>
  <si>
    <t>Eventuale frase usura</t>
  </si>
  <si>
    <t>Tasso debitore digitato dall'utente</t>
  </si>
  <si>
    <t>Cliente Affidato.</t>
  </si>
  <si>
    <t>Tasso debitore inserito dall'utilizzatore</t>
  </si>
  <si>
    <t>(a1) Importo &lt;= € 5000</t>
  </si>
  <si>
    <t xml:space="preserve">      Importo &gt; 5000</t>
  </si>
  <si>
    <t>(1) Interessi debitori entro fido</t>
  </si>
  <si>
    <r>
      <t xml:space="preserve">(4) </t>
    </r>
    <r>
      <rPr>
        <b/>
        <sz val="10"/>
        <rFont val="Arial"/>
        <family val="2"/>
      </rPr>
      <t>Controllo limiti usura:</t>
    </r>
  </si>
  <si>
    <t>(a2) Soglia interesse usurario</t>
  </si>
  <si>
    <t>(c) Importi post abbattimenti</t>
  </si>
  <si>
    <r>
      <t xml:space="preserve">(5) </t>
    </r>
    <r>
      <rPr>
        <b/>
        <sz val="10"/>
        <rFont val="Arial"/>
        <family val="2"/>
      </rPr>
      <t>"Costi" a carico cliente a valle eventuali abbattimenti</t>
    </r>
  </si>
  <si>
    <t>Interessi:</t>
  </si>
  <si>
    <t>Spese:</t>
  </si>
  <si>
    <t>(*)</t>
  </si>
  <si>
    <t>(d) importo interessi</t>
  </si>
  <si>
    <t>A supporto per calcolo cdf e cappatura tasso:</t>
  </si>
  <si>
    <t>TAN</t>
  </si>
  <si>
    <t>Commissione di disponibilità fondi trimestrale(C.D.F.)</t>
  </si>
  <si>
    <t>VALORE MAX ANNUO</t>
  </si>
  <si>
    <t>TASSO LIMITE</t>
  </si>
  <si>
    <t>(%)</t>
  </si>
  <si>
    <t>Fino a (%)</t>
  </si>
  <si>
    <t>Tasso massimo imputabile dall'utente:</t>
  </si>
  <si>
    <t>Interessi extra fido</t>
  </si>
  <si>
    <t>Extra Fido</t>
  </si>
  <si>
    <t>In occasione di uno scoperto di conto, anche temporaneo, sono applicati:</t>
  </si>
  <si>
    <t>Commissione di Istruttoria Veloce (CIV)</t>
  </si>
  <si>
    <t>di cui CIV</t>
  </si>
  <si>
    <t>Spread in diminuzione</t>
  </si>
  <si>
    <t>Commissione istruttoria veloce (CIV)</t>
  </si>
  <si>
    <t>CIV</t>
  </si>
  <si>
    <t>(c) Calcolo CIV</t>
  </si>
  <si>
    <t>(c) importo CIV</t>
  </si>
  <si>
    <t>Commissione CIV</t>
  </si>
  <si>
    <t>da considerare:</t>
  </si>
  <si>
    <t>di cui Commissione Istruttoria Veloce</t>
  </si>
  <si>
    <t>Commissione Istruttoria Veloce</t>
  </si>
  <si>
    <t>di cui per la commissione istruttoria veloce (CIV)</t>
  </si>
  <si>
    <t>Eventuale utilizzo extra fido</t>
  </si>
  <si>
    <t>dovuta ogni volta che si verifica uno sconfinamento, con le esclusioni descritte in questa pagina.</t>
  </si>
  <si>
    <t>dovuta ogni volta che si verifica un utilizzo oltre il fido, con le esclusioni descritte in questa pagina.</t>
  </si>
  <si>
    <t>Importo CIV</t>
  </si>
  <si>
    <t>Commissione Disponibilità Fondi</t>
  </si>
  <si>
    <t>(3a) Calcolo dell'extra fido</t>
  </si>
  <si>
    <t>(3b) CIV effettiva</t>
  </si>
  <si>
    <t>(2) CDF</t>
  </si>
  <si>
    <t>sulla media del fido</t>
  </si>
  <si>
    <t xml:space="preserve">     Calcolo della CDF</t>
  </si>
  <si>
    <t>CDF</t>
  </si>
  <si>
    <t>Importo CDF</t>
  </si>
  <si>
    <t>trimestrale sulla media dell'importo complessivo del fido in essere nel trimestre.</t>
  </si>
  <si>
    <t>Tasso debitore di interesse nominale annuo (TAN)</t>
  </si>
  <si>
    <t>Tasso debitore applicato</t>
  </si>
  <si>
    <t>- tasso fascia &lt;=5000</t>
  </si>
  <si>
    <t>- tasso fascia &gt; 5000</t>
  </si>
  <si>
    <t>(*) Il costo complessivo riportato qui sopra è stato ridotto in ragione degli abbattimenti che derivano dall'applicazione della Legge sull’Usura (L. 108/96).</t>
  </si>
  <si>
    <t>I costi sono orientativi. L'ipotesi di calcolo si riferisce ad un utilizzo di durata massima pari a tre mesi e periodicità di liquidazione degli interessi su base trimestrale. Inoltre, ai fini del calcolo del costo complessivo si è ipotizzato, per semplicità, che nel trimestre si verifichi uno sconfinamento costante, senza variazioni d’importo per il periodo di tempo selezionato.</t>
  </si>
  <si>
    <t>Ai fini del calcolo del costo complessivo si è ipotizzato, per semplicità, che nel trimestre si verifichi uno sconfinamento costante, senza variazioni d’importo per il periodo di tempo selezionato; pertanto i costi sono meramente orientativi.</t>
  </si>
  <si>
    <t>Quando si verifica uno sconfinamento?</t>
  </si>
  <si>
    <t>Lo sconfinamento è la somma che la banca ha accettato di pagare quando il cliente ha impartito un ordine di pagamento (assegno, domiciliazione utenze) senza avere sul conto corrente la disponibilità. Si ha sconfinamento anche quando la somma pagata eccede il fido utilizzabile.</t>
  </si>
  <si>
    <t>Il saldo del conto è dato dalla differenza tra l’importo complessivo degli accrediti e quello degli addebiti a una certa data.
Il saldo contabile si riferisce alle operazioni registrate.
Il saldo disponibile si riferisce alla somma che il cliente può effettivamente utilizzare.
Il saldo per valuta è dato dalla somma dei movimenti dare/avere sul conto corrente elencati in ordine di data valuta.</t>
  </si>
  <si>
    <t>Quali condizioni economiche si applicano in caso di utilizzo, o di addebito, di somme di denaro in mancanza di affidamento, in eccedenza rispetto al saldo del Conto (c.d. “sconfinamento in assenza di fido” o “sconfinamento”) oppure un addebito che aumenta uno sconfinamento già esistente ?</t>
  </si>
  <si>
    <t>Calcolatore on-line Apertura di credito e Sconfinamento.</t>
  </si>
  <si>
    <r>
      <t>Il calcolatore on-line è uno strumento che ti permette di simulare i costi complessivi relativi ad un'</t>
    </r>
    <r>
      <rPr>
        <b/>
        <sz val="10"/>
        <rFont val="Arial"/>
        <family val="2"/>
      </rPr>
      <t>apertura di credito in conto corrente</t>
    </r>
    <r>
      <rPr>
        <sz val="10"/>
        <rFont val="Arial"/>
        <family val="2"/>
      </rPr>
      <t xml:space="preserve"> (anche nota come </t>
    </r>
    <r>
      <rPr>
        <b/>
        <sz val="10"/>
        <rFont val="Arial"/>
        <family val="2"/>
      </rPr>
      <t>fido</t>
    </r>
    <r>
      <rPr>
        <sz val="10"/>
        <rFont val="Arial"/>
        <family val="2"/>
      </rPr>
      <t xml:space="preserve"> o </t>
    </r>
    <r>
      <rPr>
        <b/>
        <sz val="10"/>
        <rFont val="Arial"/>
        <family val="2"/>
      </rPr>
      <t>affidamento</t>
    </r>
    <r>
      <rPr>
        <sz val="10"/>
        <rFont val="Arial"/>
        <family val="2"/>
      </rPr>
      <t xml:space="preserve">) e ad uno </t>
    </r>
    <r>
      <rPr>
        <sz val="10"/>
        <rFont val="Arial"/>
        <family val="2"/>
      </rPr>
      <t>"</t>
    </r>
    <r>
      <rPr>
        <b/>
        <sz val="10"/>
        <rFont val="Arial"/>
        <family val="2"/>
      </rPr>
      <t>sconfinamento</t>
    </r>
    <r>
      <rPr>
        <sz val="10"/>
        <rFont val="Arial"/>
        <family val="2"/>
      </rPr>
      <t>", in presenza o meno di un affidamento (nel primo caso si parla di "extra fido" nel secondo di "assenza di fido").  
Lo strumento permette di calcolare il costo totale evidenziando le singole voci di costo.</t>
    </r>
  </si>
  <si>
    <t>soglia CIV</t>
  </si>
  <si>
    <t>Quali condizioni economiche sono applicate all'apertura di credito in conto corrente e quali all’utilizzo oltre l’importo dell’affidamento (c.d. “sconfinamento” o “utilizzo extra fido”):</t>
  </si>
  <si>
    <r>
      <t>Interessi debitori extra fido</t>
    </r>
    <r>
      <rPr>
        <sz val="10"/>
        <rFont val="Arial"/>
        <family val="2"/>
      </rPr>
      <t xml:space="preserve">: calcolati sulla base del tasso extra fido applicato sull’ammontare  e per la durata dello sconfinamento. </t>
    </r>
  </si>
  <si>
    <t>per gli sconfinamenti fino a 1.500,00 euro</t>
  </si>
  <si>
    <t>Scoperto &lt;=1500 €</t>
  </si>
  <si>
    <t>Scoperto &gt; 1500€</t>
  </si>
  <si>
    <t>Tasso debitore annuo nominale sulle somme utilizzate:</t>
  </si>
  <si>
    <t>per gli sconfinamenti oltre 1.500,00 euro</t>
  </si>
  <si>
    <t xml:space="preserve">Tasso Extra Fido: </t>
  </si>
  <si>
    <t>Tasso debitore massimo</t>
  </si>
  <si>
    <t>Tasso soglia per cap:</t>
  </si>
  <si>
    <t>Importo interessi entro fido</t>
  </si>
  <si>
    <t>Importo interessi extra fido</t>
  </si>
  <si>
    <t xml:space="preserve">     CDF standard</t>
  </si>
  <si>
    <r>
      <rPr>
        <b/>
        <sz val="10"/>
        <rFont val="Arial"/>
        <family val="2"/>
      </rPr>
      <t>Commissione di Istruttoria Veloce (CIV)</t>
    </r>
    <r>
      <rPr>
        <sz val="10"/>
        <rFont val="Arial"/>
        <family val="2"/>
      </rPr>
      <t>: dovuta ogni volta che si verifica uno sconfinamento oppure un addebito che aumenta uno sconfinamento già esistente e quindi  può essere applicata anche più volte nello stesso trimestre solare.
Se il Cliente è un consumatore, la CIV non è dovuta quando ricorrono entrambe le seguenti condizioni:
- finché lo sconfinamento – anche se derivante da più addebiti - è inferiore o pari a 500 euro;
- finché lo sconfinamento ha durata non superiore a 7 giorni di calendario consecutivi.
Questa esclusione si applica una sola volta per ciascun trimestre solare.</t>
    </r>
  </si>
  <si>
    <r>
      <t xml:space="preserve">Questo strumento è stato ideato per i clienti consumatori </t>
    </r>
    <r>
      <rPr>
        <vertAlign val="superscript"/>
        <sz val="10"/>
        <rFont val="Arial"/>
        <family val="2"/>
      </rPr>
      <t xml:space="preserve">(*) </t>
    </r>
  </si>
  <si>
    <t>Per ogni ulteriore informazione, puoi consultare i fogli informativi anche presenti su questo sito e comunque rivolgerti ad una filiale della banca (documento denominato "informazioni europee di base sul credito ai consumatori" relativo all' Apertura di Credito in Conto Corrente ai Consumatori, disponibile in filiale su richiesta e Foglio Informativo "Conto corrente - Conto ordinario per clienti consumatori").</t>
  </si>
  <si>
    <r>
      <t xml:space="preserve"> </t>
    </r>
    <r>
      <rPr>
        <vertAlign val="superscript"/>
        <sz val="10"/>
        <rFont val="Arial"/>
        <family val="2"/>
      </rPr>
      <t>(*)</t>
    </r>
    <r>
      <rPr>
        <sz val="10"/>
        <rFont val="Arial"/>
        <family val="2"/>
      </rPr>
      <t xml:space="preserve"> Chi sono i clienti consumatori?</t>
    </r>
  </si>
  <si>
    <t>I clienti consumatori sono le persone fisiche che agiscono per scopi estranei all'attività imprenditoriale, commerciale, artigianale o professionale eventualmente svolta.</t>
  </si>
  <si>
    <t>Spread in diminuzione: &lt;=5000</t>
  </si>
  <si>
    <t xml:space="preserve">                                   &gt; 5000</t>
  </si>
  <si>
    <r>
      <t>Interessi su saldo debitore:</t>
    </r>
    <r>
      <rPr>
        <sz val="10"/>
        <rFont val="Arial"/>
        <family val="2"/>
      </rPr>
      <t xml:space="preserve"> calcolato sulla base del tasso debitore annuo nominale sulle somme utilizzate, previsto per gli sconfinamenti in assenza di fido, con base 365 giorni (366 se anno bisestile). La periodicità di liquidazione degli interessi è annuale.</t>
    </r>
  </si>
  <si>
    <t xml:space="preserve">Qualora la somma del valore della CIV annua, del Tasso debitore di interesse nominale annuo (TAN), della commissione disponibilità fondi e del Tasso extra fido sia superiore al “Tasso Limite” di cui alla Legge 108/1996 relativo alla categoria di operazioni “Aperture di credito in conto corrente”, la CIV è ridotta proporzionalmente. </t>
  </si>
  <si>
    <t xml:space="preserve">Periodicità di liquidazione degli interessi: annuale. Gli interessi sono conteggiati il 31 dicembre di ciascun anno e divengono esigibili il 1° marzo dell’anno successivo.  Nel caso di chiusura dell’apertura di credito o nell’ipotesi  in cui  il relativo contratto sia stipulato e si esaurisca nel corso dello stesso anno  solare,  gli interessi vengono  conteggiati al termine dell’apertura di credito per cui sono dovuti e sono immediatamente esigibili. </t>
  </si>
  <si>
    <t>Massimo saldo liquido debitore (riferimento soglia usura)</t>
  </si>
  <si>
    <t>SCONFINAMENTO DI CLIENTE CONSUMATORE AFFIDATO</t>
  </si>
  <si>
    <t>NON SI UTILIZZA PIU': Costo per operazione di prelievo e di rimborso del credito erogato</t>
  </si>
  <si>
    <t>- per le Aperture di credito di importo fino a euro 5.000</t>
  </si>
  <si>
    <t>- per le Aperture di credito di importo superiore a euro 5.000</t>
  </si>
  <si>
    <t>1° Gennaio 2019</t>
  </si>
  <si>
    <r>
      <t>Commissione di Istruttoria Veloce (CIV):</t>
    </r>
    <r>
      <rPr>
        <sz val="10"/>
        <rFont val="Arial"/>
        <family val="2"/>
      </rPr>
      <t xml:space="preserve"> La CIV è dovuta ogni volta che si verifica un utilizzo, o comunque un addebito, di somme di denaro in mancanza di affidamento, in eccedenza rispetto al saldo del Conto (c.d. “sconfinamento in assenza di fido” o “sconfinamento”) oppure un addebito che aumenta uno sconfinamento già esistente e quindi, può essere applicata anche più volte nello stesso trimestre solare.
Se il Cliente è un consumatore, la CIV non è dovuta quando ricorrono entrambe le seguenti condizioni:
- lo sconfinamento è inferiore o pari a 500 euro;
- lo sconfinamento ha durata non superiore a 7 giorni di calendario consecutivi.                                                                                                                                                                                          - quando il cliente, intestatario del conto, riveste la qualifica di consumatore.
Questa esclusione si applica una sola volta per ciascun trimestre solare.</t>
    </r>
  </si>
  <si>
    <t>L'apertura di credito o fido è un contratto con il quale la Banca, su richiesta preventiva del cliente, e valutazione del suo merito creditizio, si impegna a mettere a disposizione una somma di denaro oltre il saldo disponibile.
Il cliente può utilizzare questa somma in una o più volte e può con successivi versamenti o altri accrediti ripristinare la disponibilità del credito.</t>
  </si>
  <si>
    <r>
      <rPr>
        <b/>
        <sz val="10"/>
        <rFont val="Arial"/>
        <family val="2"/>
      </rPr>
      <t xml:space="preserve">Commissione omnicomprensiva (CMDF - commissione di messa a disposizione fondi ), </t>
    </r>
    <r>
      <rPr>
        <sz val="10"/>
        <rFont val="Arial"/>
        <family val="2"/>
      </rPr>
      <t>calcolata al termine di ogni trimestre solare, applicando la percentuale prevista alla media dell’ammontare complessivo delle aperture di credito concesse al Cliente in essere durante il trimestre stesso, anche solo per parte di questo periodo e anche qualora tale ammontare complessivo sia stato utilizzato, in tutto o in parte.</t>
    </r>
  </si>
  <si>
    <t>di cui per la commissione per la disponibilità fondi (CMDF)</t>
  </si>
  <si>
    <t>Commissione di disponibilità fondi (CMDF)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</si>
</sst>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 #,##0.00;\-&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00%"/>
    <numFmt numFmtId="165" formatCode="0.0000%"/>
    <numFmt numFmtId="166" formatCode="0.00000%"/>
    <numFmt numFmtId="167" formatCode="_-&quot;€&quot;\ * #,##0.00_-;\-&quot;€&quot;\ * #,##0.00_-;_-&quot;€&quot;\ * &quot;-&quot;_-;_-@_-"/>
    <numFmt numFmtId="168" formatCode="_-* #,##0_-;\-* #,##0_-;_-* &quot;-&quot;??_-;_-@_-"/>
    <numFmt numFmtId="169" formatCode="&quot;€&quot;\ #,##0.00"/>
  </numFmts>
  <fonts count="35">
    <font>
      <sz val="10"/>
      <name val="Arial"/>
    </font>
    <font>
      <sz val="10"/>
      <name val="Arial"/>
      <family val="2"/>
    </font>
    <font>
      <sz val="8"/>
      <name val="Arial"/>
      <family val="2"/>
    </font>
    <font>
      <b/>
      <sz val="10"/>
      <name val="Arial"/>
      <family val="2"/>
    </font>
    <font>
      <sz val="10"/>
      <color indexed="10"/>
      <name val="Arial"/>
      <family val="2"/>
    </font>
    <font>
      <sz val="10"/>
      <name val="Arial"/>
      <family val="2"/>
    </font>
    <font>
      <b/>
      <i/>
      <sz val="10"/>
      <name val="Arial"/>
      <family val="2"/>
    </font>
    <font>
      <vertAlign val="superscript"/>
      <sz val="10"/>
      <name val="Arial"/>
      <family val="2"/>
    </font>
    <font>
      <sz val="12"/>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0"/>
      <name val="Verdana"/>
      <family val="2"/>
    </font>
    <font>
      <b/>
      <sz val="9"/>
      <name val="Arial"/>
      <family val="2"/>
    </font>
    <font>
      <sz val="8.5"/>
      <name val="Frutiger LT 45 Light"/>
      <family val="2"/>
    </font>
    <font>
      <sz val="10"/>
      <name val="Arial"/>
      <family val="2"/>
    </font>
    <font>
      <sz val="10"/>
      <color rgb="FFFF0000"/>
      <name val="Arial"/>
      <family val="2"/>
    </font>
    <font>
      <sz val="10"/>
      <name val="Times New Roman"/>
      <family val="1"/>
    </font>
    <font>
      <b/>
      <i/>
      <sz val="16"/>
      <color rgb="FF0070C0"/>
      <name val="Arial"/>
      <family val="2"/>
    </font>
    <font>
      <b/>
      <sz val="8"/>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rgb="FF92D050"/>
        <bgColor indexed="64"/>
      </patternFill>
    </fill>
    <fill>
      <patternFill patternType="solid">
        <fgColor rgb="FF0070C0"/>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5" tint="0.39994506668294322"/>
        <bgColor indexed="64"/>
      </patternFill>
    </fill>
  </fills>
  <borders count="42">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rgb="FF0070C0"/>
      </bottom>
      <diagonal/>
    </border>
    <border>
      <left style="thin">
        <color theme="0"/>
      </left>
      <right/>
      <top/>
      <bottom style="thin">
        <color theme="0"/>
      </bottom>
      <diagonal/>
    </border>
    <border>
      <left/>
      <right/>
      <top/>
      <bottom style="thin">
        <color theme="0"/>
      </bottom>
      <diagonal/>
    </border>
    <border>
      <left/>
      <right/>
      <top/>
      <bottom style="medium">
        <color rgb="FF0070C0"/>
      </bottom>
      <diagonal/>
    </border>
    <border>
      <left/>
      <right/>
      <top style="thick">
        <color rgb="FF0070C0"/>
      </top>
      <bottom style="medium">
        <color indexed="64"/>
      </bottom>
      <diagonal/>
    </border>
  </borders>
  <cellStyleXfs count="44">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3"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2" applyNumberFormat="0" applyFill="0" applyAlignment="0" applyProtection="0"/>
    <xf numFmtId="43" fontId="1" fillId="0" borderId="0" applyFont="0" applyFill="0" applyBorder="0" applyAlignment="0" applyProtection="0"/>
    <xf numFmtId="0" fontId="22" fillId="22" borderId="0" applyNumberFormat="0" applyBorder="0" applyAlignment="0" applyProtection="0"/>
    <xf numFmtId="0" fontId="1" fillId="23" borderId="7" applyNumberFormat="0" applyFont="0" applyAlignment="0" applyProtection="0"/>
    <xf numFmtId="0" fontId="23" fillId="20" borderId="8" applyNumberFormat="0" applyAlignment="0" applyProtection="0"/>
    <xf numFmtId="9" fontId="1" fillId="0" borderId="0" applyFont="0" applyFill="0" applyBorder="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48">
    <xf numFmtId="0" fontId="0" fillId="0" borderId="0" xfId="0"/>
    <xf numFmtId="0" fontId="0" fillId="0" borderId="0" xfId="0" quotePrefix="1"/>
    <xf numFmtId="0" fontId="0" fillId="0" borderId="0" xfId="0" applyAlignment="1">
      <alignment horizontal="right"/>
    </xf>
    <xf numFmtId="43" fontId="0" fillId="0" borderId="0" xfId="36" applyFont="1"/>
    <xf numFmtId="0" fontId="0" fillId="0" borderId="0" xfId="0" applyAlignment="1">
      <alignment vertical="top" wrapText="1"/>
    </xf>
    <xf numFmtId="44" fontId="0" fillId="24" borderId="10" xfId="0" applyNumberFormat="1" applyFill="1" applyBorder="1"/>
    <xf numFmtId="44" fontId="0" fillId="24" borderId="11" xfId="0" applyNumberFormat="1" applyFill="1" applyBorder="1"/>
    <xf numFmtId="44" fontId="0" fillId="24" borderId="12" xfId="0" applyNumberFormat="1" applyFill="1" applyBorder="1"/>
    <xf numFmtId="0" fontId="0" fillId="0" borderId="0" xfId="0" applyFill="1" applyBorder="1"/>
    <xf numFmtId="0" fontId="0" fillId="0" borderId="0" xfId="0" applyBorder="1"/>
    <xf numFmtId="0" fontId="3" fillId="0" borderId="0" xfId="0" applyFont="1"/>
    <xf numFmtId="0" fontId="4" fillId="0" borderId="0" xfId="0" applyFont="1"/>
    <xf numFmtId="0" fontId="0" fillId="0" borderId="0" xfId="0" applyAlignment="1">
      <alignment wrapText="1"/>
    </xf>
    <xf numFmtId="10" fontId="0" fillId="25" borderId="0" xfId="40" applyNumberFormat="1" applyFont="1" applyFill="1"/>
    <xf numFmtId="0" fontId="0" fillId="0" borderId="0" xfId="0" applyFill="1"/>
    <xf numFmtId="0" fontId="0" fillId="0" borderId="10" xfId="0" applyFill="1" applyBorder="1"/>
    <xf numFmtId="166" fontId="0" fillId="0" borderId="0" xfId="40" applyNumberFormat="1" applyFont="1"/>
    <xf numFmtId="0" fontId="3" fillId="0" borderId="0" xfId="0" applyFont="1" applyFill="1"/>
    <xf numFmtId="0" fontId="5" fillId="0" borderId="0" xfId="0" applyFont="1"/>
    <xf numFmtId="0" fontId="5" fillId="0" borderId="0" xfId="0" applyFont="1" applyAlignment="1"/>
    <xf numFmtId="0" fontId="5" fillId="0" borderId="0" xfId="0" applyFont="1" applyAlignment="1">
      <alignment horizontal="left" vertical="center" wrapText="1"/>
    </xf>
    <xf numFmtId="0" fontId="5" fillId="0" borderId="0" xfId="0" applyFont="1" applyAlignment="1">
      <alignment vertical="center" wrapText="1"/>
    </xf>
    <xf numFmtId="0" fontId="8" fillId="0" borderId="0" xfId="0" applyFont="1"/>
    <xf numFmtId="0" fontId="9" fillId="0" borderId="0" xfId="0" applyFont="1"/>
    <xf numFmtId="0" fontId="5" fillId="0" borderId="0" xfId="0" applyFont="1" applyBorder="1"/>
    <xf numFmtId="0" fontId="5" fillId="0" borderId="0" xfId="0" applyFont="1" applyAlignment="1">
      <alignment wrapText="1"/>
    </xf>
    <xf numFmtId="0" fontId="3" fillId="0" borderId="0" xfId="0" applyFont="1" applyAlignment="1">
      <alignment horizontal="left" vertical="center" wrapText="1"/>
    </xf>
    <xf numFmtId="0" fontId="8" fillId="0" borderId="0" xfId="0" applyFont="1" applyAlignment="1"/>
    <xf numFmtId="42" fontId="8" fillId="0" borderId="0" xfId="0" applyNumberFormat="1" applyFont="1" applyFill="1" applyBorder="1"/>
    <xf numFmtId="0" fontId="8" fillId="0" borderId="0" xfId="0" applyFont="1" applyAlignment="1">
      <alignment wrapText="1"/>
    </xf>
    <xf numFmtId="0" fontId="5" fillId="0" borderId="0" xfId="0" applyFont="1" applyFill="1"/>
    <xf numFmtId="0" fontId="8" fillId="0" borderId="0" xfId="0" applyFont="1" applyFill="1" applyBorder="1" applyAlignment="1"/>
    <xf numFmtId="0" fontId="8" fillId="0" borderId="0" xfId="0" applyFont="1" applyFill="1" applyAlignment="1"/>
    <xf numFmtId="0" fontId="5" fillId="0" borderId="0" xfId="0" applyFont="1" applyBorder="1" applyAlignment="1">
      <alignment wrapText="1"/>
    </xf>
    <xf numFmtId="0" fontId="5" fillId="0" borderId="0" xfId="0" applyFont="1" applyAlignment="1">
      <alignment horizontal="right"/>
    </xf>
    <xf numFmtId="0" fontId="9" fillId="0" borderId="0" xfId="0" applyFont="1" applyFill="1" applyAlignment="1">
      <alignment vertical="center" wrapText="1"/>
    </xf>
    <xf numFmtId="0" fontId="8" fillId="0" borderId="0" xfId="0" applyFont="1" applyAlignment="1">
      <alignment vertical="top" wrapText="1"/>
    </xf>
    <xf numFmtId="0" fontId="5" fillId="0" borderId="0" xfId="0" applyFont="1" applyFill="1" applyAlignment="1"/>
    <xf numFmtId="0" fontId="5" fillId="0" borderId="0" xfId="0" applyFont="1" applyAlignment="1">
      <alignment vertical="top" wrapText="1"/>
    </xf>
    <xf numFmtId="0" fontId="3" fillId="0" borderId="0" xfId="0" applyFont="1" applyAlignment="1">
      <alignment wrapText="1"/>
    </xf>
    <xf numFmtId="0" fontId="3" fillId="0" borderId="0" xfId="0" applyFont="1" applyBorder="1" applyAlignment="1">
      <alignment wrapText="1"/>
    </xf>
    <xf numFmtId="0" fontId="28" fillId="0" borderId="0" xfId="0" applyFont="1" applyAlignment="1">
      <alignment wrapText="1"/>
    </xf>
    <xf numFmtId="0" fontId="0" fillId="0" borderId="0" xfId="0" applyAlignment="1">
      <alignment vertical="top"/>
    </xf>
    <xf numFmtId="0" fontId="8" fillId="0" borderId="0" xfId="0" applyFont="1" applyFill="1" applyAlignment="1">
      <alignment vertical="top"/>
    </xf>
    <xf numFmtId="44" fontId="0" fillId="0" borderId="0" xfId="0" applyNumberFormat="1"/>
    <xf numFmtId="10" fontId="0" fillId="0" borderId="0" xfId="40" applyNumberFormat="1" applyFont="1" applyFill="1"/>
    <xf numFmtId="44" fontId="0" fillId="0" borderId="0" xfId="36" applyNumberFormat="1" applyFont="1"/>
    <xf numFmtId="44" fontId="0" fillId="0" borderId="14" xfId="0" applyNumberFormat="1" applyBorder="1"/>
    <xf numFmtId="44" fontId="0" fillId="0" borderId="14" xfId="36" applyNumberFormat="1" applyFont="1" applyBorder="1"/>
    <xf numFmtId="0" fontId="0" fillId="0" borderId="14" xfId="0" applyBorder="1" applyAlignment="1">
      <alignment horizontal="right"/>
    </xf>
    <xf numFmtId="0" fontId="0" fillId="0" borderId="0" xfId="0" applyBorder="1" applyAlignment="1">
      <alignment horizontal="right"/>
    </xf>
    <xf numFmtId="44" fontId="0" fillId="0" borderId="0" xfId="0" applyNumberFormat="1" applyBorder="1"/>
    <xf numFmtId="43" fontId="0" fillId="0" borderId="0" xfId="36" applyFont="1" applyBorder="1"/>
    <xf numFmtId="10" fontId="0" fillId="0" borderId="0" xfId="40" applyNumberFormat="1" applyFont="1" applyBorder="1"/>
    <xf numFmtId="0" fontId="3" fillId="0" borderId="0" xfId="0" applyFont="1" applyBorder="1" applyAlignment="1">
      <alignment horizontal="left"/>
    </xf>
    <xf numFmtId="167" fontId="0" fillId="0" borderId="10" xfId="0" applyNumberFormat="1" applyFill="1" applyBorder="1"/>
    <xf numFmtId="10" fontId="0" fillId="0" borderId="0" xfId="40" applyNumberFormat="1" applyFont="1"/>
    <xf numFmtId="0" fontId="3" fillId="0" borderId="0" xfId="0" applyFont="1" applyBorder="1"/>
    <xf numFmtId="41" fontId="0" fillId="0" borderId="0" xfId="36" applyNumberFormat="1" applyFont="1"/>
    <xf numFmtId="0" fontId="8" fillId="0" borderId="15" xfId="0" applyFont="1" applyFill="1" applyBorder="1" applyAlignment="1"/>
    <xf numFmtId="0" fontId="8" fillId="0" borderId="0" xfId="0" applyFont="1" applyFill="1"/>
    <xf numFmtId="0" fontId="8" fillId="0" borderId="0" xfId="0" applyFont="1" applyFill="1" applyAlignment="1">
      <alignment wrapText="1"/>
    </xf>
    <xf numFmtId="0" fontId="0" fillId="0" borderId="0" xfId="0" applyAlignment="1">
      <alignment horizontal="left" vertical="center"/>
    </xf>
    <xf numFmtId="0" fontId="3" fillId="0" borderId="0" xfId="0" applyFont="1" applyFill="1" applyAlignment="1">
      <alignment horizontal="left" vertical="center" wrapText="1"/>
    </xf>
    <xf numFmtId="0" fontId="6" fillId="0" borderId="0" xfId="0" applyFont="1" applyBorder="1" applyAlignment="1">
      <alignment vertical="center"/>
    </xf>
    <xf numFmtId="0" fontId="5" fillId="0" borderId="0" xfId="0" applyFont="1" applyBorder="1" applyAlignment="1">
      <alignment horizontal="left"/>
    </xf>
    <xf numFmtId="0" fontId="5" fillId="0" borderId="0" xfId="0" applyFont="1" applyAlignment="1">
      <alignment horizontal="left"/>
    </xf>
    <xf numFmtId="10" fontId="5" fillId="0" borderId="0" xfId="0" applyNumberFormat="1" applyFont="1" applyFill="1" applyBorder="1" applyAlignment="1">
      <alignment horizontal="left" wrapText="1"/>
    </xf>
    <xf numFmtId="0" fontId="5" fillId="0" borderId="0" xfId="0" applyFont="1" applyFill="1" applyAlignment="1">
      <alignment vertical="center" wrapText="1"/>
    </xf>
    <xf numFmtId="0" fontId="0" fillId="0" borderId="0" xfId="0" quotePrefix="1" applyAlignment="1">
      <alignment vertical="top" wrapText="1"/>
    </xf>
    <xf numFmtId="44" fontId="0" fillId="0" borderId="0" xfId="36" applyNumberFormat="1" applyFont="1" applyFill="1" applyAlignment="1">
      <alignment vertical="top"/>
    </xf>
    <xf numFmtId="168" fontId="0" fillId="0" borderId="0" xfId="36" applyNumberFormat="1" applyFont="1"/>
    <xf numFmtId="10" fontId="0" fillId="0" borderId="0" xfId="40" applyNumberFormat="1" applyFont="1" applyFill="1" applyAlignment="1">
      <alignment vertical="top"/>
    </xf>
    <xf numFmtId="10" fontId="0" fillId="0" borderId="0" xfId="40" quotePrefix="1" applyNumberFormat="1" applyFont="1" applyFill="1" applyAlignment="1">
      <alignment vertical="top"/>
    </xf>
    <xf numFmtId="0" fontId="0" fillId="0" borderId="14" xfId="0" applyBorder="1"/>
    <xf numFmtId="0" fontId="5" fillId="0" borderId="0" xfId="0" applyFont="1" applyFill="1" applyBorder="1" applyAlignment="1">
      <alignment horizontal="left"/>
    </xf>
    <xf numFmtId="0" fontId="4" fillId="0" borderId="0" xfId="0" applyFont="1" applyFill="1" applyAlignment="1">
      <alignment vertical="center"/>
    </xf>
    <xf numFmtId="165" fontId="0" fillId="0" borderId="0" xfId="40" applyNumberFormat="1" applyFont="1" applyFill="1"/>
    <xf numFmtId="0" fontId="0" fillId="0" borderId="16" xfId="0" applyBorder="1"/>
    <xf numFmtId="0" fontId="5" fillId="0" borderId="0" xfId="0" quotePrefix="1" applyFont="1" applyAlignment="1">
      <alignment vertical="center"/>
    </xf>
    <xf numFmtId="167" fontId="0" fillId="27" borderId="10" xfId="0" applyNumberFormat="1" applyFill="1" applyBorder="1"/>
    <xf numFmtId="0" fontId="0" fillId="27" borderId="10" xfId="0" applyFill="1" applyBorder="1"/>
    <xf numFmtId="0" fontId="5" fillId="0" borderId="0" xfId="0" applyFont="1" applyBorder="1" applyAlignment="1">
      <alignment horizontal="left" wrapText="1"/>
    </xf>
    <xf numFmtId="10" fontId="30" fillId="28" borderId="0" xfId="40" applyNumberFormat="1" applyFont="1" applyFill="1"/>
    <xf numFmtId="0" fontId="5" fillId="0" borderId="14" xfId="0" quotePrefix="1" applyFont="1" applyBorder="1"/>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165" fontId="29" fillId="0" borderId="23" xfId="0" applyNumberFormat="1" applyFont="1" applyBorder="1" applyAlignment="1">
      <alignment horizontal="center" vertical="center"/>
    </xf>
    <xf numFmtId="9" fontId="29" fillId="29" borderId="24" xfId="0" applyNumberFormat="1" applyFont="1" applyFill="1" applyBorder="1" applyAlignment="1">
      <alignment horizontal="center" vertical="center"/>
    </xf>
    <xf numFmtId="165" fontId="29" fillId="0" borderId="24" xfId="0" applyNumberFormat="1" applyFont="1" applyBorder="1" applyAlignment="1">
      <alignment horizontal="right" vertical="center"/>
    </xf>
    <xf numFmtId="165" fontId="29" fillId="0" borderId="25" xfId="0" applyNumberFormat="1" applyFont="1" applyBorder="1" applyAlignment="1">
      <alignment horizontal="right" vertical="center"/>
    </xf>
    <xf numFmtId="165" fontId="29" fillId="0" borderId="26" xfId="0" applyNumberFormat="1" applyFont="1" applyBorder="1" applyAlignment="1">
      <alignment horizontal="center" vertical="center"/>
    </xf>
    <xf numFmtId="10" fontId="29" fillId="29" borderId="27" xfId="0" applyNumberFormat="1" applyFont="1" applyFill="1" applyBorder="1" applyAlignment="1">
      <alignment horizontal="center" vertical="center"/>
    </xf>
    <xf numFmtId="165" fontId="29" fillId="0" borderId="27" xfId="0" applyNumberFormat="1" applyFont="1" applyBorder="1" applyAlignment="1">
      <alignment horizontal="right" vertical="center"/>
    </xf>
    <xf numFmtId="165" fontId="29" fillId="0" borderId="28" xfId="0" applyNumberFormat="1" applyFont="1" applyBorder="1" applyAlignment="1">
      <alignment horizontal="right" vertical="center"/>
    </xf>
    <xf numFmtId="165" fontId="29" fillId="0" borderId="20" xfId="0" applyNumberFormat="1" applyFont="1" applyBorder="1" applyAlignment="1">
      <alignment horizontal="center" vertical="center"/>
    </xf>
    <xf numFmtId="10" fontId="29" fillId="29" borderId="21" xfId="0" applyNumberFormat="1" applyFont="1" applyFill="1" applyBorder="1" applyAlignment="1">
      <alignment horizontal="center" vertical="center"/>
    </xf>
    <xf numFmtId="165" fontId="29" fillId="0" borderId="21" xfId="0" applyNumberFormat="1" applyFont="1" applyBorder="1" applyAlignment="1">
      <alignment horizontal="right" vertical="center"/>
    </xf>
    <xf numFmtId="165" fontId="29" fillId="0" borderId="22" xfId="0" applyNumberFormat="1" applyFont="1" applyBorder="1" applyAlignment="1">
      <alignment horizontal="right" vertical="center"/>
    </xf>
    <xf numFmtId="0" fontId="5" fillId="0" borderId="0" xfId="0" applyFont="1" applyAlignment="1">
      <alignment horizontal="left" vertical="center" wrapText="1"/>
    </xf>
    <xf numFmtId="0" fontId="1" fillId="0" borderId="0" xfId="0" applyFont="1"/>
    <xf numFmtId="0" fontId="1" fillId="0" borderId="0" xfId="0" quotePrefix="1" applyFont="1"/>
    <xf numFmtId="0" fontId="1" fillId="0" borderId="14" xfId="0" applyFont="1" applyBorder="1"/>
    <xf numFmtId="165" fontId="29" fillId="28" borderId="10" xfId="0" applyNumberFormat="1" applyFont="1" applyFill="1" applyBorder="1" applyAlignment="1">
      <alignment horizontal="right" vertical="center"/>
    </xf>
    <xf numFmtId="0" fontId="0" fillId="28" borderId="0" xfId="0" applyFill="1"/>
    <xf numFmtId="0" fontId="0" fillId="28" borderId="0" xfId="0" applyFill="1" applyAlignment="1">
      <alignment horizontal="left" wrapText="1"/>
    </xf>
    <xf numFmtId="44" fontId="0" fillId="25" borderId="0" xfId="40" applyNumberFormat="1" applyFont="1" applyFill="1"/>
    <xf numFmtId="0" fontId="1" fillId="0" borderId="14" xfId="0" quotePrefix="1" applyFont="1" applyBorder="1"/>
    <xf numFmtId="0" fontId="1" fillId="0" borderId="0" xfId="0" applyFont="1" applyBorder="1" applyAlignment="1">
      <alignment horizontal="left"/>
    </xf>
    <xf numFmtId="165" fontId="0" fillId="0" borderId="14" xfId="40" applyNumberFormat="1" applyFont="1" applyBorder="1"/>
    <xf numFmtId="169" fontId="0" fillId="25" borderId="0" xfId="40" applyNumberFormat="1" applyFont="1" applyFill="1"/>
    <xf numFmtId="0" fontId="31" fillId="0" borderId="0" xfId="0" applyFont="1" applyBorder="1" applyAlignment="1">
      <alignment horizontal="left" wrapText="1"/>
    </xf>
    <xf numFmtId="0" fontId="0" fillId="30" borderId="0" xfId="0" applyFill="1"/>
    <xf numFmtId="10" fontId="0" fillId="30" borderId="0" xfId="40" applyNumberFormat="1" applyFont="1" applyFill="1"/>
    <xf numFmtId="0" fontId="8" fillId="0" borderId="0" xfId="0" applyFont="1" applyAlignment="1">
      <alignment horizontal="left" wrapText="1"/>
    </xf>
    <xf numFmtId="44" fontId="0" fillId="0" borderId="14" xfId="0" applyNumberFormat="1" applyBorder="1" applyAlignment="1">
      <alignment horizontal="center" vertical="center"/>
    </xf>
    <xf numFmtId="7" fontId="0" fillId="0" borderId="0" xfId="0" applyNumberFormat="1"/>
    <xf numFmtId="10" fontId="1" fillId="0" borderId="0" xfId="0" applyNumberFormat="1" applyFont="1" applyFill="1" applyBorder="1" applyAlignment="1">
      <alignment horizontal="left" wrapText="1"/>
    </xf>
    <xf numFmtId="0" fontId="1" fillId="0" borderId="0" xfId="0" applyFont="1" applyAlignment="1">
      <alignment horizontal="left"/>
    </xf>
    <xf numFmtId="164" fontId="0" fillId="0" borderId="0" xfId="40" applyNumberFormat="1" applyFont="1"/>
    <xf numFmtId="44" fontId="0" fillId="24" borderId="13" xfId="0" applyNumberFormat="1" applyFill="1" applyBorder="1"/>
    <xf numFmtId="7" fontId="1" fillId="0" borderId="0" xfId="36" applyNumberFormat="1" applyFont="1" applyFill="1" applyBorder="1" applyAlignment="1">
      <alignment horizontal="left" vertical="center" wrapText="1"/>
    </xf>
    <xf numFmtId="169" fontId="1" fillId="0" borderId="0" xfId="0" applyNumberFormat="1" applyFont="1" applyBorder="1" applyAlignment="1">
      <alignment horizontal="left" wrapText="1"/>
    </xf>
    <xf numFmtId="164" fontId="0" fillId="0" borderId="0" xfId="40" applyNumberFormat="1" applyFont="1" applyFill="1"/>
    <xf numFmtId="44" fontId="1" fillId="0" borderId="0" xfId="36" applyNumberFormat="1" applyFont="1"/>
    <xf numFmtId="0" fontId="0" fillId="0" borderId="0" xfId="0" applyAlignment="1">
      <alignment wrapText="1"/>
    </xf>
    <xf numFmtId="44" fontId="0" fillId="0" borderId="0" xfId="0" applyNumberFormat="1" applyFill="1"/>
    <xf numFmtId="44" fontId="0" fillId="0" borderId="14" xfId="0" applyNumberFormat="1" applyFill="1" applyBorder="1"/>
    <xf numFmtId="0" fontId="1" fillId="0" borderId="0" xfId="0" applyFont="1" applyAlignment="1">
      <alignment horizontal="right"/>
    </xf>
    <xf numFmtId="164" fontId="1" fillId="0" borderId="0" xfId="0" applyNumberFormat="1" applyFont="1"/>
    <xf numFmtId="7" fontId="0" fillId="0" borderId="14" xfId="40" applyNumberFormat="1" applyFont="1" applyFill="1" applyBorder="1"/>
    <xf numFmtId="10" fontId="0" fillId="0" borderId="0" xfId="0" applyNumberFormat="1"/>
    <xf numFmtId="166" fontId="1" fillId="0" borderId="0" xfId="40" quotePrefix="1" applyNumberFormat="1" applyFont="1" applyFill="1"/>
    <xf numFmtId="165" fontId="29" fillId="0" borderId="10" xfId="0" applyNumberFormat="1" applyFont="1" applyBorder="1" applyAlignment="1">
      <alignment horizontal="right" vertical="center"/>
    </xf>
    <xf numFmtId="7" fontId="0" fillId="0" borderId="14" xfId="0" applyNumberFormat="1" applyBorder="1"/>
    <xf numFmtId="0" fontId="1" fillId="0" borderId="14" xfId="0" applyFont="1" applyBorder="1" applyAlignment="1">
      <alignment horizontal="left"/>
    </xf>
    <xf numFmtId="165" fontId="1" fillId="0" borderId="14" xfId="40" quotePrefix="1" applyNumberFormat="1" applyFont="1" applyFill="1" applyBorder="1"/>
    <xf numFmtId="165" fontId="5" fillId="0" borderId="0" xfId="0" applyNumberFormat="1" applyFont="1" applyBorder="1" applyAlignment="1">
      <alignment horizontal="left" wrapText="1"/>
    </xf>
    <xf numFmtId="165" fontId="8" fillId="0" borderId="10" xfId="0" applyNumberFormat="1" applyFont="1" applyBorder="1"/>
    <xf numFmtId="165" fontId="0" fillId="0" borderId="0" xfId="40" applyNumberFormat="1" applyFont="1"/>
    <xf numFmtId="0" fontId="32" fillId="0" borderId="0" xfId="0" applyFont="1" applyAlignment="1">
      <alignment vertical="center" wrapText="1"/>
    </xf>
    <xf numFmtId="10" fontId="0" fillId="31" borderId="11" xfId="40" applyNumberFormat="1" applyFont="1" applyFill="1" applyBorder="1"/>
    <xf numFmtId="10" fontId="0" fillId="31" borderId="12" xfId="40" applyNumberFormat="1" applyFont="1" applyFill="1" applyBorder="1"/>
    <xf numFmtId="15" fontId="1" fillId="31" borderId="0" xfId="0" quotePrefix="1" applyNumberFormat="1" applyFont="1" applyFill="1"/>
    <xf numFmtId="0" fontId="0" fillId="0" borderId="0" xfId="0" applyFill="1" applyAlignment="1">
      <alignment vertical="top" wrapText="1"/>
    </xf>
    <xf numFmtId="0" fontId="0" fillId="30" borderId="0" xfId="0" applyFill="1" applyAlignment="1">
      <alignment horizontal="left"/>
    </xf>
    <xf numFmtId="10" fontId="0" fillId="0" borderId="10" xfId="0" applyNumberFormat="1" applyFill="1" applyBorder="1"/>
    <xf numFmtId="0" fontId="5" fillId="28" borderId="0" xfId="0" applyFont="1" applyFill="1"/>
    <xf numFmtId="0" fontId="5" fillId="28" borderId="0" xfId="0" applyFont="1" applyFill="1" applyAlignment="1">
      <alignment vertical="center" wrapText="1"/>
    </xf>
    <xf numFmtId="0" fontId="5" fillId="32" borderId="0" xfId="0" applyFont="1" applyFill="1" applyAlignment="1">
      <alignment vertical="center" wrapText="1"/>
    </xf>
    <xf numFmtId="0" fontId="5" fillId="32" borderId="0" xfId="0" applyFont="1" applyFill="1"/>
    <xf numFmtId="0" fontId="5" fillId="33" borderId="0" xfId="0" applyFont="1" applyFill="1" applyAlignment="1">
      <alignment vertical="center" wrapText="1"/>
    </xf>
    <xf numFmtId="0" fontId="5" fillId="33" borderId="0" xfId="0" applyFont="1" applyFill="1"/>
    <xf numFmtId="0" fontId="27" fillId="0" borderId="37" xfId="0" applyFont="1" applyBorder="1"/>
    <xf numFmtId="0" fontId="6" fillId="0" borderId="37" xfId="0" applyFont="1" applyBorder="1"/>
    <xf numFmtId="0" fontId="5" fillId="0" borderId="37" xfId="0" applyFont="1" applyBorder="1"/>
    <xf numFmtId="0" fontId="5" fillId="0" borderId="37" xfId="0" applyFont="1" applyBorder="1" applyAlignment="1">
      <alignment vertical="center" wrapText="1"/>
    </xf>
    <xf numFmtId="0" fontId="6" fillId="0" borderId="38" xfId="0" applyFont="1" applyBorder="1"/>
    <xf numFmtId="0" fontId="6" fillId="0" borderId="39" xfId="0" applyFont="1" applyBorder="1"/>
    <xf numFmtId="0" fontId="5" fillId="0" borderId="39" xfId="0" applyFont="1" applyBorder="1"/>
    <xf numFmtId="0" fontId="5" fillId="28" borderId="0" xfId="0" applyFont="1" applyFill="1" applyBorder="1"/>
    <xf numFmtId="0" fontId="8" fillId="0" borderId="40" xfId="0" applyFont="1" applyBorder="1"/>
    <xf numFmtId="0" fontId="5" fillId="0" borderId="40" xfId="0" applyFont="1" applyBorder="1"/>
    <xf numFmtId="0" fontId="5" fillId="0" borderId="0" xfId="0" applyFont="1" applyBorder="1" applyAlignment="1">
      <alignment wrapText="1"/>
    </xf>
    <xf numFmtId="0" fontId="27" fillId="0" borderId="40" xfId="0" applyFont="1" applyBorder="1" applyAlignment="1">
      <alignment vertical="center"/>
    </xf>
    <xf numFmtId="0" fontId="6" fillId="0" borderId="40" xfId="0" applyFont="1" applyBorder="1" applyAlignment="1">
      <alignment vertical="center"/>
    </xf>
    <xf numFmtId="15" fontId="27" fillId="0" borderId="40" xfId="0" applyNumberFormat="1" applyFont="1" applyBorder="1" applyAlignment="1">
      <alignment vertical="center"/>
    </xf>
    <xf numFmtId="44" fontId="9" fillId="35" borderId="10" xfId="0" applyNumberFormat="1" applyFont="1" applyFill="1" applyBorder="1" applyAlignment="1"/>
    <xf numFmtId="44" fontId="8" fillId="36" borderId="10" xfId="0" applyNumberFormat="1" applyFont="1" applyFill="1" applyBorder="1" applyAlignment="1"/>
    <xf numFmtId="0" fontId="5" fillId="0" borderId="0" xfId="0" applyFont="1" applyBorder="1" applyAlignment="1"/>
    <xf numFmtId="0" fontId="5" fillId="32" borderId="0" xfId="0" applyFont="1" applyFill="1" applyAlignment="1">
      <alignment wrapText="1"/>
    </xf>
    <xf numFmtId="42" fontId="8" fillId="0" borderId="41" xfId="0" applyNumberFormat="1" applyFont="1" applyFill="1" applyBorder="1"/>
    <xf numFmtId="0" fontId="8" fillId="0" borderId="41" xfId="0" applyFont="1" applyFill="1" applyBorder="1" applyAlignment="1"/>
    <xf numFmtId="0" fontId="5" fillId="0" borderId="41" xfId="0" applyFont="1" applyBorder="1"/>
    <xf numFmtId="44" fontId="8" fillId="35" borderId="10" xfId="0" applyNumberFormat="1" applyFont="1" applyFill="1" applyBorder="1" applyAlignment="1"/>
    <xf numFmtId="44" fontId="8" fillId="34" borderId="10" xfId="0" applyNumberFormat="1" applyFont="1" applyFill="1" applyBorder="1" applyProtection="1">
      <protection locked="0"/>
    </xf>
    <xf numFmtId="0" fontId="8" fillId="34" borderId="10" xfId="0" applyFont="1" applyFill="1" applyBorder="1" applyProtection="1">
      <protection locked="0"/>
    </xf>
    <xf numFmtId="167" fontId="8" fillId="26" borderId="10" xfId="0" applyNumberFormat="1" applyFont="1" applyFill="1" applyBorder="1" applyProtection="1">
      <protection locked="0"/>
    </xf>
    <xf numFmtId="0" fontId="8" fillId="26" borderId="10" xfId="0" applyFont="1" applyFill="1" applyBorder="1" applyProtection="1">
      <protection locked="0"/>
    </xf>
    <xf numFmtId="165" fontId="8" fillId="26" borderId="10" xfId="40" applyNumberFormat="1" applyFont="1" applyFill="1" applyBorder="1" applyProtection="1">
      <protection locked="0"/>
    </xf>
    <xf numFmtId="0" fontId="33" fillId="0" borderId="0" xfId="0" applyFont="1" applyAlignment="1">
      <alignment horizontal="left" vertical="center"/>
    </xf>
    <xf numFmtId="0" fontId="1"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 fillId="0" borderId="0" xfId="0" applyFont="1" applyAlignment="1">
      <alignment wrapText="1"/>
    </xf>
    <xf numFmtId="0" fontId="1" fillId="0" borderId="40" xfId="0" applyFont="1" applyBorder="1" applyAlignment="1">
      <alignment horizontal="left" vertical="center"/>
    </xf>
    <xf numFmtId="0" fontId="34" fillId="0" borderId="0" xfId="0" applyFont="1" applyBorder="1" applyAlignment="1">
      <alignment horizontal="left"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1" fillId="0" borderId="0" xfId="0" applyFont="1" applyFill="1" applyAlignment="1">
      <alignment horizontal="left" vertical="center" wrapText="1"/>
    </xf>
    <xf numFmtId="0" fontId="5" fillId="0"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Font="1" applyFill="1" applyBorder="1" applyAlignment="1">
      <alignment horizontal="right" wrapText="1"/>
    </xf>
    <xf numFmtId="0" fontId="5" fillId="0" borderId="0" xfId="0" applyFont="1" applyFill="1" applyBorder="1" applyAlignment="1">
      <alignment horizontal="right" wrapText="1"/>
    </xf>
    <xf numFmtId="0" fontId="1" fillId="0" borderId="0" xfId="0" applyFont="1" applyBorder="1" applyAlignment="1">
      <alignment horizontal="left" wrapText="1"/>
    </xf>
    <xf numFmtId="0" fontId="1" fillId="0" borderId="0" xfId="0" applyFont="1" applyAlignment="1">
      <alignment horizontal="left" wrapText="1"/>
    </xf>
    <xf numFmtId="0" fontId="27" fillId="0" borderId="37" xfId="0" applyFont="1" applyFill="1" applyBorder="1" applyAlignment="1">
      <alignment wrapText="1"/>
    </xf>
    <xf numFmtId="0" fontId="0" fillId="0" borderId="37" xfId="0" applyFill="1" applyBorder="1" applyAlignment="1">
      <alignment wrapText="1"/>
    </xf>
    <xf numFmtId="0" fontId="0" fillId="0" borderId="0" xfId="0" applyAlignment="1">
      <alignment wrapText="1"/>
    </xf>
    <xf numFmtId="0" fontId="5" fillId="0" borderId="0" xfId="0" applyFont="1" applyBorder="1" applyAlignment="1">
      <alignment wrapText="1"/>
    </xf>
    <xf numFmtId="0" fontId="5" fillId="0" borderId="0" xfId="0" applyFont="1" applyAlignment="1">
      <alignment horizontal="left" vertical="center" wrapText="1"/>
    </xf>
    <xf numFmtId="0" fontId="8" fillId="0" borderId="0" xfId="0" applyFont="1" applyAlignment="1">
      <alignment horizontal="left" vertical="top" wrapText="1"/>
    </xf>
    <xf numFmtId="0" fontId="9" fillId="0" borderId="0" xfId="0" applyFont="1" applyAlignment="1">
      <alignment horizontal="left"/>
    </xf>
    <xf numFmtId="0" fontId="8" fillId="0" borderId="0" xfId="0" applyFont="1" applyAlignment="1">
      <alignment horizontal="left"/>
    </xf>
    <xf numFmtId="0" fontId="3" fillId="0" borderId="0" xfId="0" applyFont="1" applyFill="1" applyAlignment="1">
      <alignment horizontal="left" vertical="top" wrapText="1"/>
    </xf>
    <xf numFmtId="0" fontId="1" fillId="0" borderId="0" xfId="0" applyFont="1" applyFill="1" applyAlignment="1">
      <alignment horizontal="left" vertical="top" wrapText="1"/>
    </xf>
    <xf numFmtId="0" fontId="8" fillId="0" borderId="0" xfId="0" applyFont="1" applyAlignment="1">
      <alignment horizontal="left" wrapText="1"/>
    </xf>
    <xf numFmtId="0" fontId="8" fillId="0" borderId="0" xfId="0" applyFont="1" applyFill="1" applyAlignment="1">
      <alignment vertical="top" wrapText="1"/>
    </xf>
    <xf numFmtId="0" fontId="3" fillId="0" borderId="0" xfId="0" applyFont="1" applyAlignment="1">
      <alignment horizontal="left" vertical="center" wrapText="1"/>
    </xf>
    <xf numFmtId="0" fontId="1" fillId="0" borderId="0" xfId="0" applyFont="1" applyFill="1" applyBorder="1" applyAlignment="1">
      <alignment vertical="center" wrapText="1"/>
    </xf>
    <xf numFmtId="0" fontId="0" fillId="0" borderId="0" xfId="0" applyAlignment="1">
      <alignment vertical="center" wrapText="1"/>
    </xf>
    <xf numFmtId="0" fontId="3" fillId="0" borderId="0" xfId="0" applyFont="1" applyFill="1" applyAlignment="1">
      <alignment horizontal="left" vertical="center" wrapText="1"/>
    </xf>
    <xf numFmtId="15" fontId="6" fillId="0" borderId="40" xfId="0" applyNumberFormat="1" applyFont="1" applyBorder="1" applyAlignment="1">
      <alignment vertical="center"/>
    </xf>
    <xf numFmtId="0" fontId="6" fillId="0" borderId="40" xfId="0" applyFont="1" applyBorder="1" applyAlignment="1">
      <alignment vertical="center"/>
    </xf>
    <xf numFmtId="0" fontId="8" fillId="0" borderId="0" xfId="0" applyFont="1" applyFill="1" applyAlignment="1">
      <alignment horizontal="left"/>
    </xf>
    <xf numFmtId="0" fontId="1" fillId="0" borderId="0" xfId="0" applyFont="1" applyBorder="1" applyAlignment="1">
      <alignment vertical="center" wrapText="1"/>
    </xf>
    <xf numFmtId="0" fontId="1" fillId="0" borderId="0" xfId="0" applyFont="1" applyAlignment="1">
      <alignment vertical="center" wrapText="1"/>
    </xf>
    <xf numFmtId="0" fontId="5" fillId="0" borderId="0" xfId="0" applyFont="1" applyAlignment="1">
      <alignment vertical="top" wrapText="1"/>
    </xf>
    <xf numFmtId="0" fontId="1" fillId="0" borderId="0" xfId="0" applyFont="1" applyFill="1" applyBorder="1" applyAlignment="1">
      <alignment horizontal="left" wrapText="1"/>
    </xf>
    <xf numFmtId="0" fontId="5" fillId="0" borderId="0" xfId="0" applyFont="1" applyFill="1" applyBorder="1" applyAlignment="1">
      <alignment horizontal="left" wrapText="1"/>
    </xf>
    <xf numFmtId="0" fontId="8" fillId="0" borderId="0" xfId="0" applyFont="1" applyBorder="1" applyAlignment="1">
      <alignment horizontal="left"/>
    </xf>
    <xf numFmtId="0" fontId="1" fillId="0" borderId="0" xfId="0" applyFont="1" applyFill="1" applyAlignment="1">
      <alignment horizontal="left" wrapText="1" indent="1"/>
    </xf>
    <xf numFmtId="0" fontId="0" fillId="0" borderId="0" xfId="0" applyFill="1" applyAlignment="1">
      <alignment horizontal="left" wrapText="1" indent="1"/>
    </xf>
    <xf numFmtId="0" fontId="1" fillId="0" borderId="0" xfId="0" applyFont="1" applyFill="1" applyAlignment="1">
      <alignment horizontal="left" vertical="top" wrapText="1" indent="1"/>
    </xf>
    <xf numFmtId="0" fontId="0" fillId="0" borderId="0" xfId="0" applyFill="1" applyAlignment="1">
      <alignment horizontal="left" vertical="top" wrapText="1" indent="1"/>
    </xf>
    <xf numFmtId="0" fontId="1" fillId="0" borderId="0" xfId="0" quotePrefix="1" applyFont="1" applyFill="1" applyBorder="1" applyAlignment="1">
      <alignment horizontal="left" wrapText="1"/>
    </xf>
    <xf numFmtId="0" fontId="5" fillId="0" borderId="0" xfId="0" applyFont="1" applyAlignment="1">
      <alignment wrapText="1"/>
    </xf>
    <xf numFmtId="0" fontId="8" fillId="0" borderId="0" xfId="0" applyFont="1" applyFill="1" applyAlignment="1">
      <alignment horizontal="left" vertical="top" wrapText="1"/>
    </xf>
    <xf numFmtId="0" fontId="31" fillId="0" borderId="0" xfId="0" quotePrefix="1" applyFont="1" applyFill="1" applyBorder="1" applyAlignment="1">
      <alignment horizontal="left" wrapText="1"/>
    </xf>
    <xf numFmtId="0" fontId="31" fillId="0" borderId="0" xfId="0" applyFont="1" applyFill="1" applyBorder="1" applyAlignment="1">
      <alignment horizontal="left" wrapText="1"/>
    </xf>
    <xf numFmtId="0" fontId="5" fillId="0" borderId="0" xfId="0" applyFont="1" applyBorder="1" applyAlignment="1">
      <alignment horizontal="left" wrapText="1"/>
    </xf>
    <xf numFmtId="0" fontId="0" fillId="0" borderId="14" xfId="0" applyBorder="1" applyAlignment="1">
      <alignment horizontal="left" vertical="top" wrapText="1"/>
    </xf>
    <xf numFmtId="0" fontId="0" fillId="0" borderId="29"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0" fillId="0" borderId="32" xfId="0" applyBorder="1" applyAlignment="1">
      <alignment vertical="top" wrapText="1"/>
    </xf>
    <xf numFmtId="0" fontId="0" fillId="0" borderId="0" xfId="0" applyBorder="1" applyAlignment="1">
      <alignment vertical="top" wrapText="1"/>
    </xf>
    <xf numFmtId="0" fontId="0" fillId="0" borderId="33"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1" fillId="0" borderId="0" xfId="0" quotePrefix="1" applyFont="1" applyAlignment="1">
      <alignment horizontal="left" wrapText="1"/>
    </xf>
    <xf numFmtId="0" fontId="0" fillId="0" borderId="0" xfId="0" applyAlignment="1">
      <alignment horizontal="left" wrapText="1"/>
    </xf>
    <xf numFmtId="0" fontId="0" fillId="0" borderId="0" xfId="0" applyAlignment="1">
      <alignment horizontal="left" vertical="center"/>
    </xf>
    <xf numFmtId="0" fontId="0" fillId="0" borderId="32" xfId="0" applyBorder="1" applyAlignment="1">
      <alignment horizontal="center" vertical="top"/>
    </xf>
  </cellXfs>
  <cellStyles count="4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builtinId="20" customBuiltin="1"/>
    <cellStyle name="Linked Cell" xfId="35" xr:uid="{00000000-0005-0000-0000-000022000000}"/>
    <cellStyle name="Migliaia" xfId="36" builtinId="3"/>
    <cellStyle name="Neutral" xfId="37" xr:uid="{00000000-0005-0000-0000-000024000000}"/>
    <cellStyle name="Normale" xfId="0" builtinId="0"/>
    <cellStyle name="Note" xfId="38" xr:uid="{00000000-0005-0000-0000-000026000000}"/>
    <cellStyle name="Output" xfId="39" builtinId="21" customBuiltin="1"/>
    <cellStyle name="Percentuale" xfId="40" builtinId="5"/>
    <cellStyle name="Title" xfId="41" xr:uid="{00000000-0005-0000-0000-000029000000}"/>
    <cellStyle name="Total" xfId="42" xr:uid="{00000000-0005-0000-0000-00002A000000}"/>
    <cellStyle name="Warning Text" xfId="43" xr:uid="{00000000-0005-0000-0000-00002B000000}"/>
  </cellStyles>
  <dxfs count="0"/>
  <tableStyles count="0" defaultTableStyle="TableStyleMedium2" defaultPivotStyle="PivotStyleLight16"/>
  <colors>
    <mruColors>
      <color rgb="FFCCFFFF"/>
      <color rgb="FF00698E"/>
      <color rgb="FF00476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liente non affidato'!A1"/><Relationship Id="rId1" Type="http://schemas.openxmlformats.org/officeDocument/2006/relationships/hyperlink" Target="#'Cliente affidato'!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Intr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Intro!A1"/><Relationship Id="rId2" Type="http://schemas.openxmlformats.org/officeDocument/2006/relationships/image" Target="../media/image1.png"/><Relationship Id="rId1" Type="http://schemas.openxmlformats.org/officeDocument/2006/relationships/image" Target="../media/image2.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495300</xdr:colOff>
      <xdr:row>22</xdr:row>
      <xdr:rowOff>142875</xdr:rowOff>
    </xdr:from>
    <xdr:to>
      <xdr:col>14</xdr:col>
      <xdr:colOff>66675</xdr:colOff>
      <xdr:row>23</xdr:row>
      <xdr:rowOff>161925</xdr:rowOff>
    </xdr:to>
    <xdr:sp macro="[0]!Forme1_Clic" textlink="">
      <xdr:nvSpPr>
        <xdr:cNvPr id="1315" name="AutoShape 3">
          <a:hlinkClick xmlns:r="http://schemas.openxmlformats.org/officeDocument/2006/relationships" r:id="rId1"/>
          <a:extLst>
            <a:ext uri="{FF2B5EF4-FFF2-40B4-BE49-F238E27FC236}">
              <a16:creationId xmlns:a16="http://schemas.microsoft.com/office/drawing/2014/main" id="{00000000-0008-0000-0000-000023050000}"/>
            </a:ext>
          </a:extLst>
        </xdr:cNvPr>
        <xdr:cNvSpPr>
          <a:spLocks noChangeArrowheads="1"/>
        </xdr:cNvSpPr>
      </xdr:nvSpPr>
      <xdr:spPr bwMode="auto">
        <a:xfrm>
          <a:off x="7458075" y="3571875"/>
          <a:ext cx="180975" cy="16192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13</xdr:col>
      <xdr:colOff>495300</xdr:colOff>
      <xdr:row>24</xdr:row>
      <xdr:rowOff>9525</xdr:rowOff>
    </xdr:from>
    <xdr:to>
      <xdr:col>14</xdr:col>
      <xdr:colOff>66675</xdr:colOff>
      <xdr:row>24</xdr:row>
      <xdr:rowOff>190500</xdr:rowOff>
    </xdr:to>
    <xdr:sp macro="[0]!Forme1_Clic" textlink="">
      <xdr:nvSpPr>
        <xdr:cNvPr id="1316" name="AutoShape 4">
          <a:hlinkClick xmlns:r="http://schemas.openxmlformats.org/officeDocument/2006/relationships" r:id="rId2"/>
          <a:extLst>
            <a:ext uri="{FF2B5EF4-FFF2-40B4-BE49-F238E27FC236}">
              <a16:creationId xmlns:a16="http://schemas.microsoft.com/office/drawing/2014/main" id="{00000000-0008-0000-0000-000024050000}"/>
            </a:ext>
          </a:extLst>
        </xdr:cNvPr>
        <xdr:cNvSpPr>
          <a:spLocks noChangeArrowheads="1"/>
        </xdr:cNvSpPr>
      </xdr:nvSpPr>
      <xdr:spPr bwMode="auto">
        <a:xfrm>
          <a:off x="7458075" y="3829050"/>
          <a:ext cx="180975" cy="18097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xdr:col>
      <xdr:colOff>142875</xdr:colOff>
      <xdr:row>39</xdr:row>
      <xdr:rowOff>95250</xdr:rowOff>
    </xdr:from>
    <xdr:to>
      <xdr:col>19</xdr:col>
      <xdr:colOff>11206</xdr:colOff>
      <xdr:row>41</xdr:row>
      <xdr:rowOff>459442</xdr:rowOff>
    </xdr:to>
    <xdr:sp macro="" textlink="">
      <xdr:nvSpPr>
        <xdr:cNvPr id="1317" name="AutoShape 6">
          <a:extLst>
            <a:ext uri="{FF2B5EF4-FFF2-40B4-BE49-F238E27FC236}">
              <a16:creationId xmlns:a16="http://schemas.microsoft.com/office/drawing/2014/main" id="{00000000-0008-0000-0000-000025050000}"/>
            </a:ext>
          </a:extLst>
        </xdr:cNvPr>
        <xdr:cNvSpPr>
          <a:spLocks noChangeArrowheads="1"/>
        </xdr:cNvSpPr>
      </xdr:nvSpPr>
      <xdr:spPr bwMode="auto">
        <a:xfrm>
          <a:off x="344581" y="6684309"/>
          <a:ext cx="9976037" cy="689162"/>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6</xdr:col>
      <xdr:colOff>392206</xdr:colOff>
      <xdr:row>20</xdr:row>
      <xdr:rowOff>224118</xdr:rowOff>
    </xdr:from>
    <xdr:to>
      <xdr:col>7</xdr:col>
      <xdr:colOff>140634</xdr:colOff>
      <xdr:row>23</xdr:row>
      <xdr:rowOff>19050</xdr:rowOff>
    </xdr:to>
    <xdr:pic>
      <xdr:nvPicPr>
        <xdr:cNvPr id="12" name="Immagine 11">
          <a:extLst>
            <a:ext uri="{FF2B5EF4-FFF2-40B4-BE49-F238E27FC236}">
              <a16:creationId xmlns:a16="http://schemas.microsoft.com/office/drawing/2014/main" id="{782D2713-87F1-472C-AC4F-05DA93DFE85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8353" y="3160059"/>
          <a:ext cx="443193" cy="400050"/>
        </a:xfrm>
        <a:prstGeom prst="rect">
          <a:avLst/>
        </a:prstGeom>
        <a:solidFill>
          <a:sysClr val="window" lastClr="FFFFFF"/>
        </a:solidFill>
      </xdr:spPr>
    </xdr:pic>
    <xdr:clientData/>
  </xdr:twoCellAnchor>
  <xdr:twoCellAnchor editAs="oneCell">
    <xdr:from>
      <xdr:col>3</xdr:col>
      <xdr:colOff>67235</xdr:colOff>
      <xdr:row>18</xdr:row>
      <xdr:rowOff>56030</xdr:rowOff>
    </xdr:from>
    <xdr:to>
      <xdr:col>6</xdr:col>
      <xdr:colOff>320954</xdr:colOff>
      <xdr:row>26</xdr:row>
      <xdr:rowOff>89648</xdr:rowOff>
    </xdr:to>
    <xdr:pic>
      <xdr:nvPicPr>
        <xdr:cNvPr id="13" name="Immagine 12">
          <a:extLst>
            <a:ext uri="{FF2B5EF4-FFF2-40B4-BE49-F238E27FC236}">
              <a16:creationId xmlns:a16="http://schemas.microsoft.com/office/drawing/2014/main" id="{44A6D162-C5DB-4865-AF96-2EFFE34EB7B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2706" y="2622177"/>
          <a:ext cx="2304395" cy="1725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104775</xdr:colOff>
      <xdr:row>13</xdr:row>
      <xdr:rowOff>238125</xdr:rowOff>
    </xdr:from>
    <xdr:to>
      <xdr:col>4</xdr:col>
      <xdr:colOff>0</xdr:colOff>
      <xdr:row>14</xdr:row>
      <xdr:rowOff>247651</xdr:rowOff>
    </xdr:to>
    <xdr:sp macro="" textlink="">
      <xdr:nvSpPr>
        <xdr:cNvPr id="2062" name="Rectangle 14">
          <a:extLst>
            <a:ext uri="{FF2B5EF4-FFF2-40B4-BE49-F238E27FC236}">
              <a16:creationId xmlns:a16="http://schemas.microsoft.com/office/drawing/2014/main" id="{00000000-0008-0000-0100-00000E080000}"/>
            </a:ext>
          </a:extLst>
        </xdr:cNvPr>
        <xdr:cNvSpPr>
          <a:spLocks noChangeArrowheads="1"/>
        </xdr:cNvSpPr>
      </xdr:nvSpPr>
      <xdr:spPr bwMode="auto">
        <a:xfrm>
          <a:off x="609600" y="189547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104775</xdr:colOff>
      <xdr:row>14</xdr:row>
      <xdr:rowOff>0</xdr:rowOff>
    </xdr:from>
    <xdr:to>
      <xdr:col>4</xdr:col>
      <xdr:colOff>0</xdr:colOff>
      <xdr:row>14</xdr:row>
      <xdr:rowOff>233362</xdr:rowOff>
    </xdr:to>
    <xdr:sp macro="" textlink="">
      <xdr:nvSpPr>
        <xdr:cNvPr id="2063" name="Rectangle 15">
          <a:extLst>
            <a:ext uri="{FF2B5EF4-FFF2-40B4-BE49-F238E27FC236}">
              <a16:creationId xmlns:a16="http://schemas.microsoft.com/office/drawing/2014/main" id="{00000000-0008-0000-0100-00000F080000}"/>
            </a:ext>
          </a:extLst>
        </xdr:cNvPr>
        <xdr:cNvSpPr>
          <a:spLocks noChangeArrowheads="1"/>
        </xdr:cNvSpPr>
      </xdr:nvSpPr>
      <xdr:spPr bwMode="auto">
        <a:xfrm>
          <a:off x="609600" y="22669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xdr:from>
      <xdr:col>1</xdr:col>
      <xdr:colOff>171450</xdr:colOff>
      <xdr:row>45</xdr:row>
      <xdr:rowOff>0</xdr:rowOff>
    </xdr:from>
    <xdr:to>
      <xdr:col>18</xdr:col>
      <xdr:colOff>76200</xdr:colOff>
      <xdr:row>51</xdr:row>
      <xdr:rowOff>76200</xdr:rowOff>
    </xdr:to>
    <xdr:sp macro="" textlink="">
      <xdr:nvSpPr>
        <xdr:cNvPr id="2461" name="AutoShape 17">
          <a:extLst>
            <a:ext uri="{FF2B5EF4-FFF2-40B4-BE49-F238E27FC236}">
              <a16:creationId xmlns:a16="http://schemas.microsoft.com/office/drawing/2014/main" id="{00000000-0008-0000-0100-00009D090000}"/>
            </a:ext>
          </a:extLst>
        </xdr:cNvPr>
        <xdr:cNvSpPr>
          <a:spLocks noChangeArrowheads="1"/>
        </xdr:cNvSpPr>
      </xdr:nvSpPr>
      <xdr:spPr bwMode="auto">
        <a:xfrm>
          <a:off x="371475" y="7410450"/>
          <a:ext cx="11610975" cy="7524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171450</xdr:colOff>
      <xdr:row>45</xdr:row>
      <xdr:rowOff>0</xdr:rowOff>
    </xdr:from>
    <xdr:to>
      <xdr:col>18</xdr:col>
      <xdr:colOff>76200</xdr:colOff>
      <xdr:row>51</xdr:row>
      <xdr:rowOff>76200</xdr:rowOff>
    </xdr:to>
    <xdr:sp macro="" textlink="">
      <xdr:nvSpPr>
        <xdr:cNvPr id="2462" name="AutoShape 18">
          <a:extLst>
            <a:ext uri="{FF2B5EF4-FFF2-40B4-BE49-F238E27FC236}">
              <a16:creationId xmlns:a16="http://schemas.microsoft.com/office/drawing/2014/main" id="{00000000-0008-0000-0100-00009E090000}"/>
            </a:ext>
          </a:extLst>
        </xdr:cNvPr>
        <xdr:cNvSpPr>
          <a:spLocks noChangeArrowheads="1"/>
        </xdr:cNvSpPr>
      </xdr:nvSpPr>
      <xdr:spPr bwMode="auto">
        <a:xfrm>
          <a:off x="371475" y="7410450"/>
          <a:ext cx="11610975" cy="7524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17</xdr:col>
      <xdr:colOff>21431</xdr:colOff>
      <xdr:row>52</xdr:row>
      <xdr:rowOff>154781</xdr:rowOff>
    </xdr:from>
    <xdr:to>
      <xdr:col>17</xdr:col>
      <xdr:colOff>176213</xdr:colOff>
      <xdr:row>54</xdr:row>
      <xdr:rowOff>59532</xdr:rowOff>
    </xdr:to>
    <xdr:pic>
      <xdr:nvPicPr>
        <xdr:cNvPr id="2463" name="myIMG2" descr="frecciadx_smart_finder">
          <a:hlinkClick xmlns:r="http://schemas.openxmlformats.org/officeDocument/2006/relationships" r:id="rId1"/>
          <a:extLst>
            <a:ext uri="{FF2B5EF4-FFF2-40B4-BE49-F238E27FC236}">
              <a16:creationId xmlns:a16="http://schemas.microsoft.com/office/drawing/2014/main" id="{00000000-0008-0000-0100-00009F090000}"/>
            </a:ext>
          </a:extLst>
        </xdr:cNvPr>
        <xdr:cNvPicPr>
          <a:picLocks noChangeAspect="1" noChangeArrowheads="1"/>
        </xdr:cNvPicPr>
      </xdr:nvPicPr>
      <xdr:blipFill>
        <a:blip xmlns:r="http://schemas.openxmlformats.org/officeDocument/2006/relationships" r:embed="rId2">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1618119" y="10108406"/>
          <a:ext cx="154782" cy="238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104775</xdr:colOff>
      <xdr:row>14</xdr:row>
      <xdr:rowOff>238125</xdr:rowOff>
    </xdr:from>
    <xdr:to>
      <xdr:col>4</xdr:col>
      <xdr:colOff>0</xdr:colOff>
      <xdr:row>15</xdr:row>
      <xdr:rowOff>135732</xdr:rowOff>
    </xdr:to>
    <xdr:sp macro="" textlink="">
      <xdr:nvSpPr>
        <xdr:cNvPr id="16" name="Rectangle 14">
          <a:extLst>
            <a:ext uri="{FF2B5EF4-FFF2-40B4-BE49-F238E27FC236}">
              <a16:creationId xmlns:a16="http://schemas.microsoft.com/office/drawing/2014/main" id="{00000000-0008-0000-0100-000010000000}"/>
            </a:ext>
          </a:extLst>
        </xdr:cNvPr>
        <xdr:cNvSpPr>
          <a:spLocks noChangeArrowheads="1"/>
        </xdr:cNvSpPr>
      </xdr:nvSpPr>
      <xdr:spPr bwMode="auto">
        <a:xfrm>
          <a:off x="616744" y="1897856"/>
          <a:ext cx="109537"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104775</xdr:colOff>
      <xdr:row>15</xdr:row>
      <xdr:rowOff>0</xdr:rowOff>
    </xdr:from>
    <xdr:to>
      <xdr:col>4</xdr:col>
      <xdr:colOff>0</xdr:colOff>
      <xdr:row>15</xdr:row>
      <xdr:rowOff>233362</xdr:rowOff>
    </xdr:to>
    <xdr:sp macro="" textlink="">
      <xdr:nvSpPr>
        <xdr:cNvPr id="17" name="Rectangle 15">
          <a:extLst>
            <a:ext uri="{FF2B5EF4-FFF2-40B4-BE49-F238E27FC236}">
              <a16:creationId xmlns:a16="http://schemas.microsoft.com/office/drawing/2014/main" id="{00000000-0008-0000-0100-000011000000}"/>
            </a:ext>
          </a:extLst>
        </xdr:cNvPr>
        <xdr:cNvSpPr>
          <a:spLocks noChangeArrowheads="1"/>
        </xdr:cNvSpPr>
      </xdr:nvSpPr>
      <xdr:spPr bwMode="auto">
        <a:xfrm>
          <a:off x="616744" y="1893094"/>
          <a:ext cx="109537" cy="233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83344</xdr:colOff>
      <xdr:row>20</xdr:row>
      <xdr:rowOff>154781</xdr:rowOff>
    </xdr:from>
    <xdr:to>
      <xdr:col>6</xdr:col>
      <xdr:colOff>392274</xdr:colOff>
      <xdr:row>32</xdr:row>
      <xdr:rowOff>-1</xdr:rowOff>
    </xdr:to>
    <xdr:pic>
      <xdr:nvPicPr>
        <xdr:cNvPr id="19" name="Immagine 18">
          <a:extLst>
            <a:ext uri="{FF2B5EF4-FFF2-40B4-BE49-F238E27FC236}">
              <a16:creationId xmlns:a16="http://schemas.microsoft.com/office/drawing/2014/main" id="{9B906EF7-7C57-4E6C-8959-134E0BAE5F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5313" y="4750594"/>
          <a:ext cx="2225836" cy="1666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369094</xdr:colOff>
      <xdr:row>22</xdr:row>
      <xdr:rowOff>83344</xdr:rowOff>
    </xdr:from>
    <xdr:to>
      <xdr:col>7</xdr:col>
      <xdr:colOff>121724</xdr:colOff>
      <xdr:row>25</xdr:row>
      <xdr:rowOff>42863</xdr:rowOff>
    </xdr:to>
    <xdr:pic>
      <xdr:nvPicPr>
        <xdr:cNvPr id="20" name="Immagine 19">
          <a:extLst>
            <a:ext uri="{FF2B5EF4-FFF2-40B4-BE49-F238E27FC236}">
              <a16:creationId xmlns:a16="http://schemas.microsoft.com/office/drawing/2014/main" id="{FAAE2342-2CEE-4543-8989-E7F41A4BC99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97969" y="4988719"/>
          <a:ext cx="443193" cy="400050"/>
        </a:xfrm>
        <a:prstGeom prst="rect">
          <a:avLst/>
        </a:prstGeom>
        <a:solidFill>
          <a:sysClr val="window" lastClr="FFFFFF"/>
        </a:solidFill>
      </xdr:spPr>
    </xdr:pic>
    <xdr:clientData/>
  </xdr:twoCellAnchor>
  <xdr:twoCellAnchor editAs="oneCell">
    <xdr:from>
      <xdr:col>6</xdr:col>
      <xdr:colOff>357188</xdr:colOff>
      <xdr:row>24</xdr:row>
      <xdr:rowOff>11905</xdr:rowOff>
    </xdr:from>
    <xdr:to>
      <xdr:col>7</xdr:col>
      <xdr:colOff>109818</xdr:colOff>
      <xdr:row>26</xdr:row>
      <xdr:rowOff>126205</xdr:rowOff>
    </xdr:to>
    <xdr:pic>
      <xdr:nvPicPr>
        <xdr:cNvPr id="21" name="Immagine 20">
          <a:extLst>
            <a:ext uri="{FF2B5EF4-FFF2-40B4-BE49-F238E27FC236}">
              <a16:creationId xmlns:a16="http://schemas.microsoft.com/office/drawing/2014/main" id="{E5700399-F1AB-482F-8272-D32EAB4F31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86063" y="5274468"/>
          <a:ext cx="443193" cy="400050"/>
        </a:xfrm>
        <a:prstGeom prst="rect">
          <a:avLst/>
        </a:prstGeom>
        <a:solidFill>
          <a:sysClr val="window" lastClr="FFFFFF"/>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66675</xdr:colOff>
      <xdr:row>14</xdr:row>
      <xdr:rowOff>28575</xdr:rowOff>
    </xdr:from>
    <xdr:to>
      <xdr:col>4</xdr:col>
      <xdr:colOff>38100</xdr:colOff>
      <xdr:row>16</xdr:row>
      <xdr:rowOff>57149</xdr:rowOff>
    </xdr:to>
    <xdr:sp macro="" textlink="">
      <xdr:nvSpPr>
        <xdr:cNvPr id="3083" name="Rectangle 11">
          <a:extLst>
            <a:ext uri="{FF2B5EF4-FFF2-40B4-BE49-F238E27FC236}">
              <a16:creationId xmlns:a16="http://schemas.microsoft.com/office/drawing/2014/main" id="{00000000-0008-0000-0200-00000B0C0000}"/>
            </a:ext>
          </a:extLst>
        </xdr:cNvPr>
        <xdr:cNvSpPr>
          <a:spLocks noChangeArrowheads="1"/>
        </xdr:cNvSpPr>
      </xdr:nvSpPr>
      <xdr:spPr bwMode="auto">
        <a:xfrm>
          <a:off x="571500" y="1819275"/>
          <a:ext cx="1047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66675</xdr:colOff>
      <xdr:row>17</xdr:row>
      <xdr:rowOff>19050</xdr:rowOff>
    </xdr:from>
    <xdr:to>
      <xdr:col>4</xdr:col>
      <xdr:colOff>38100</xdr:colOff>
      <xdr:row>18</xdr:row>
      <xdr:rowOff>219075</xdr:rowOff>
    </xdr:to>
    <xdr:sp macro="" textlink="">
      <xdr:nvSpPr>
        <xdr:cNvPr id="3084" name="Rectangle 12">
          <a:extLst>
            <a:ext uri="{FF2B5EF4-FFF2-40B4-BE49-F238E27FC236}">
              <a16:creationId xmlns:a16="http://schemas.microsoft.com/office/drawing/2014/main" id="{00000000-0008-0000-0200-00000C0C0000}"/>
            </a:ext>
          </a:extLst>
        </xdr:cNvPr>
        <xdr:cNvSpPr>
          <a:spLocks noChangeArrowheads="1"/>
        </xdr:cNvSpPr>
      </xdr:nvSpPr>
      <xdr:spPr bwMode="auto">
        <a:xfrm>
          <a:off x="571500" y="221932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xdr:from>
      <xdr:col>1</xdr:col>
      <xdr:colOff>171450</xdr:colOff>
      <xdr:row>60</xdr:row>
      <xdr:rowOff>0</xdr:rowOff>
    </xdr:from>
    <xdr:to>
      <xdr:col>20</xdr:col>
      <xdr:colOff>28575</xdr:colOff>
      <xdr:row>73</xdr:row>
      <xdr:rowOff>0</xdr:rowOff>
    </xdr:to>
    <xdr:sp macro="" textlink="">
      <xdr:nvSpPr>
        <xdr:cNvPr id="3518" name="AutoShape 22">
          <a:extLst>
            <a:ext uri="{FF2B5EF4-FFF2-40B4-BE49-F238E27FC236}">
              <a16:creationId xmlns:a16="http://schemas.microsoft.com/office/drawing/2014/main" id="{00000000-0008-0000-0200-0000BE0D0000}"/>
            </a:ext>
          </a:extLst>
        </xdr:cNvPr>
        <xdr:cNvSpPr>
          <a:spLocks noChangeArrowheads="1"/>
        </xdr:cNvSpPr>
      </xdr:nvSpPr>
      <xdr:spPr bwMode="auto">
        <a:xfrm>
          <a:off x="371475" y="8181975"/>
          <a:ext cx="10839450" cy="17811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171450</xdr:colOff>
      <xdr:row>60</xdr:row>
      <xdr:rowOff>0</xdr:rowOff>
    </xdr:from>
    <xdr:to>
      <xdr:col>20</xdr:col>
      <xdr:colOff>28575</xdr:colOff>
      <xdr:row>73</xdr:row>
      <xdr:rowOff>9525</xdr:rowOff>
    </xdr:to>
    <xdr:sp macro="" textlink="">
      <xdr:nvSpPr>
        <xdr:cNvPr id="3519" name="AutoShape 23">
          <a:extLst>
            <a:ext uri="{FF2B5EF4-FFF2-40B4-BE49-F238E27FC236}">
              <a16:creationId xmlns:a16="http://schemas.microsoft.com/office/drawing/2014/main" id="{00000000-0008-0000-0200-0000BF0D0000}"/>
            </a:ext>
          </a:extLst>
        </xdr:cNvPr>
        <xdr:cNvSpPr>
          <a:spLocks noChangeArrowheads="1"/>
        </xdr:cNvSpPr>
      </xdr:nvSpPr>
      <xdr:spPr bwMode="auto">
        <a:xfrm>
          <a:off x="371475" y="8181975"/>
          <a:ext cx="10839450" cy="1790700"/>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3</xdr:col>
      <xdr:colOff>76200</xdr:colOff>
      <xdr:row>24</xdr:row>
      <xdr:rowOff>26186</xdr:rowOff>
    </xdr:from>
    <xdr:to>
      <xdr:col>4</xdr:col>
      <xdr:colOff>47625</xdr:colOff>
      <xdr:row>24</xdr:row>
      <xdr:rowOff>280980</xdr:rowOff>
    </xdr:to>
    <xdr:sp macro="" textlink="">
      <xdr:nvSpPr>
        <xdr:cNvPr id="3105" name="Rectangle 33">
          <a:extLst>
            <a:ext uri="{FF2B5EF4-FFF2-40B4-BE49-F238E27FC236}">
              <a16:creationId xmlns:a16="http://schemas.microsoft.com/office/drawing/2014/main" id="{00000000-0008-0000-0200-0000210C0000}"/>
            </a:ext>
          </a:extLst>
        </xdr:cNvPr>
        <xdr:cNvSpPr>
          <a:spLocks noChangeArrowheads="1"/>
        </xdr:cNvSpPr>
      </xdr:nvSpPr>
      <xdr:spPr bwMode="auto">
        <a:xfrm>
          <a:off x="588169" y="3359936"/>
          <a:ext cx="102394" cy="254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76200</xdr:colOff>
      <xdr:row>22</xdr:row>
      <xdr:rowOff>26192</xdr:rowOff>
    </xdr:from>
    <xdr:to>
      <xdr:col>4</xdr:col>
      <xdr:colOff>47625</xdr:colOff>
      <xdr:row>22</xdr:row>
      <xdr:rowOff>280986</xdr:rowOff>
    </xdr:to>
    <xdr:sp macro="" textlink="">
      <xdr:nvSpPr>
        <xdr:cNvPr id="17" name="Rectangle 33">
          <a:extLst>
            <a:ext uri="{FF2B5EF4-FFF2-40B4-BE49-F238E27FC236}">
              <a16:creationId xmlns:a16="http://schemas.microsoft.com/office/drawing/2014/main" id="{00000000-0008-0000-0200-000011000000}"/>
            </a:ext>
          </a:extLst>
        </xdr:cNvPr>
        <xdr:cNvSpPr>
          <a:spLocks noChangeArrowheads="1"/>
        </xdr:cNvSpPr>
      </xdr:nvSpPr>
      <xdr:spPr bwMode="auto">
        <a:xfrm>
          <a:off x="588169" y="3050380"/>
          <a:ext cx="102394" cy="2547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71438</xdr:colOff>
      <xdr:row>29</xdr:row>
      <xdr:rowOff>71437</xdr:rowOff>
    </xdr:from>
    <xdr:to>
      <xdr:col>7</xdr:col>
      <xdr:colOff>424143</xdr:colOff>
      <xdr:row>41</xdr:row>
      <xdr:rowOff>11905</xdr:rowOff>
    </xdr:to>
    <xdr:pic>
      <xdr:nvPicPr>
        <xdr:cNvPr id="18" name="Immagine 17">
          <a:extLst>
            <a:ext uri="{FF2B5EF4-FFF2-40B4-BE49-F238E27FC236}">
              <a16:creationId xmlns:a16="http://schemas.microsoft.com/office/drawing/2014/main" id="{4DC0F388-2A16-42D9-9000-F932F66721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407" y="5167312"/>
          <a:ext cx="2305330" cy="1881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452437</xdr:colOff>
      <xdr:row>30</xdr:row>
      <xdr:rowOff>59530</xdr:rowOff>
    </xdr:from>
    <xdr:to>
      <xdr:col>9</xdr:col>
      <xdr:colOff>50286</xdr:colOff>
      <xdr:row>33</xdr:row>
      <xdr:rowOff>78580</xdr:rowOff>
    </xdr:to>
    <xdr:pic>
      <xdr:nvPicPr>
        <xdr:cNvPr id="19" name="Immagine 18">
          <a:extLst>
            <a:ext uri="{FF2B5EF4-FFF2-40B4-BE49-F238E27FC236}">
              <a16:creationId xmlns:a16="http://schemas.microsoft.com/office/drawing/2014/main" id="{72BC723B-8BB6-4536-9E6A-772A109D4D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17031" y="5322093"/>
          <a:ext cx="443193" cy="400050"/>
        </a:xfrm>
        <a:prstGeom prst="rect">
          <a:avLst/>
        </a:prstGeom>
        <a:solidFill>
          <a:sysClr val="window" lastClr="FFFFFF"/>
        </a:solidFill>
      </xdr:spPr>
    </xdr:pic>
    <xdr:clientData/>
  </xdr:twoCellAnchor>
  <xdr:twoCellAnchor editAs="oneCell">
    <xdr:from>
      <xdr:col>7</xdr:col>
      <xdr:colOff>440531</xdr:colOff>
      <xdr:row>34</xdr:row>
      <xdr:rowOff>0</xdr:rowOff>
    </xdr:from>
    <xdr:to>
      <xdr:col>9</xdr:col>
      <xdr:colOff>38380</xdr:colOff>
      <xdr:row>37</xdr:row>
      <xdr:rowOff>102394</xdr:rowOff>
    </xdr:to>
    <xdr:pic>
      <xdr:nvPicPr>
        <xdr:cNvPr id="21" name="Immagine 20">
          <a:extLst>
            <a:ext uri="{FF2B5EF4-FFF2-40B4-BE49-F238E27FC236}">
              <a16:creationId xmlns:a16="http://schemas.microsoft.com/office/drawing/2014/main" id="{A0D6B672-0957-41D3-9B8C-9EBBE4AB17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05125" y="6096000"/>
          <a:ext cx="443193" cy="400050"/>
        </a:xfrm>
        <a:prstGeom prst="rect">
          <a:avLst/>
        </a:prstGeom>
        <a:solidFill>
          <a:sysClr val="window" lastClr="FFFFFF"/>
        </a:solidFill>
      </xdr:spPr>
    </xdr:pic>
    <xdr:clientData/>
  </xdr:twoCellAnchor>
  <xdr:twoCellAnchor editAs="oneCell">
    <xdr:from>
      <xdr:col>7</xdr:col>
      <xdr:colOff>428625</xdr:colOff>
      <xdr:row>37</xdr:row>
      <xdr:rowOff>166688</xdr:rowOff>
    </xdr:from>
    <xdr:to>
      <xdr:col>9</xdr:col>
      <xdr:colOff>26474</xdr:colOff>
      <xdr:row>40</xdr:row>
      <xdr:rowOff>78581</xdr:rowOff>
    </xdr:to>
    <xdr:pic>
      <xdr:nvPicPr>
        <xdr:cNvPr id="22" name="Immagine 21">
          <a:extLst>
            <a:ext uri="{FF2B5EF4-FFF2-40B4-BE49-F238E27FC236}">
              <a16:creationId xmlns:a16="http://schemas.microsoft.com/office/drawing/2014/main" id="{E805C781-DC91-4602-A57D-E9CBE4B042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93219" y="6560344"/>
          <a:ext cx="443193" cy="400050"/>
        </a:xfrm>
        <a:prstGeom prst="rect">
          <a:avLst/>
        </a:prstGeom>
        <a:solidFill>
          <a:sysClr val="window" lastClr="FFFFFF"/>
        </a:solidFill>
      </xdr:spPr>
    </xdr:pic>
    <xdr:clientData/>
  </xdr:twoCellAnchor>
  <xdr:twoCellAnchor editAs="oneCell">
    <xdr:from>
      <xdr:col>19</xdr:col>
      <xdr:colOff>940593</xdr:colOff>
      <xdr:row>73</xdr:row>
      <xdr:rowOff>154780</xdr:rowOff>
    </xdr:from>
    <xdr:to>
      <xdr:col>20</xdr:col>
      <xdr:colOff>47625</xdr:colOff>
      <xdr:row>75</xdr:row>
      <xdr:rowOff>47625</xdr:rowOff>
    </xdr:to>
    <xdr:pic>
      <xdr:nvPicPr>
        <xdr:cNvPr id="13" name="myIMG2" descr="frecciadx_smart_finder">
          <a:hlinkClick xmlns:r="http://schemas.openxmlformats.org/officeDocument/2006/relationships" r:id="rId3"/>
          <a:extLst>
            <a:ext uri="{FF2B5EF4-FFF2-40B4-BE49-F238E27FC236}">
              <a16:creationId xmlns:a16="http://schemas.microsoft.com/office/drawing/2014/main" id="{8CCE5AF3-D677-45C8-BF89-F1C16370D01D}"/>
            </a:ext>
          </a:extLst>
        </xdr:cNvPr>
        <xdr:cNvPicPr>
          <a:picLocks noChangeAspect="1" noChangeArrowheads="1"/>
        </xdr:cNvPicPr>
      </xdr:nvPicPr>
      <xdr:blipFill>
        <a:blip xmlns:r="http://schemas.openxmlformats.org/officeDocument/2006/relationships" r:embed="rId4">
          <a:duotone>
            <a:schemeClr val="accent1">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1084718" y="13382624"/>
          <a:ext cx="154782" cy="238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C1:AX43"/>
  <sheetViews>
    <sheetView showGridLines="0" tabSelected="1" zoomScale="85" workbookViewId="0">
      <selection activeCell="D33" sqref="D33:S34"/>
    </sheetView>
  </sheetViews>
  <sheetFormatPr defaultRowHeight="12.75"/>
  <cols>
    <col min="1" max="1" width="3" style="18" customWidth="1"/>
    <col min="2" max="2" width="3.140625" style="18" customWidth="1"/>
    <col min="3" max="3" width="1.42578125" style="18" customWidth="1"/>
    <col min="4" max="6" width="10.28515625" style="18" customWidth="1"/>
    <col min="7" max="7" width="10.42578125" style="18" customWidth="1"/>
    <col min="8" max="8" width="2.28515625" style="18" customWidth="1"/>
    <col min="9" max="9" width="1.42578125" style="18" customWidth="1"/>
    <col min="10" max="10" width="11.85546875" style="18" customWidth="1"/>
    <col min="11" max="11" width="9.140625" style="18"/>
    <col min="12" max="12" width="21.7109375" style="18" customWidth="1"/>
    <col min="13" max="18" width="9.140625" style="18"/>
    <col min="19" max="19" width="4.7109375" style="18" customWidth="1"/>
    <col min="20" max="20" width="3.140625" style="19" customWidth="1"/>
    <col min="21" max="50" width="9.140625" style="19"/>
    <col min="51" max="16384" width="9.140625" style="18"/>
  </cols>
  <sheetData>
    <row r="1" spans="3:19" ht="6" customHeight="1"/>
    <row r="2" spans="3:19" ht="17.25" customHeight="1">
      <c r="D2" s="184" t="s">
        <v>127</v>
      </c>
      <c r="E2" s="184"/>
      <c r="F2" s="184"/>
      <c r="G2" s="184"/>
      <c r="H2" s="184"/>
      <c r="I2" s="184"/>
      <c r="J2" s="184"/>
      <c r="K2" s="184"/>
      <c r="L2" s="184"/>
    </row>
    <row r="3" spans="3:19" ht="6" customHeight="1"/>
    <row r="4" spans="3:19" ht="3" customHeight="1">
      <c r="C4" s="154"/>
      <c r="D4" s="154"/>
      <c r="E4" s="154"/>
      <c r="F4" s="154"/>
      <c r="G4" s="154"/>
      <c r="H4" s="154"/>
      <c r="I4" s="154"/>
      <c r="J4" s="154"/>
      <c r="K4" s="154"/>
      <c r="L4" s="154"/>
      <c r="M4" s="154"/>
      <c r="N4" s="154"/>
      <c r="O4" s="154"/>
      <c r="P4" s="154"/>
      <c r="Q4" s="154"/>
      <c r="R4" s="154"/>
      <c r="S4" s="154"/>
    </row>
    <row r="5" spans="3:19" ht="3" customHeight="1">
      <c r="C5" s="156"/>
      <c r="D5" s="156"/>
      <c r="E5" s="156"/>
      <c r="F5" s="156"/>
      <c r="G5" s="156"/>
      <c r="H5" s="156"/>
      <c r="I5" s="156"/>
      <c r="J5" s="156"/>
      <c r="K5" s="156"/>
      <c r="L5" s="156"/>
      <c r="M5" s="156"/>
      <c r="N5" s="156"/>
      <c r="O5" s="156"/>
      <c r="P5" s="156"/>
      <c r="Q5" s="156"/>
      <c r="R5" s="156"/>
      <c r="S5" s="156"/>
    </row>
    <row r="7" spans="3:19">
      <c r="C7" s="157" t="s">
        <v>23</v>
      </c>
      <c r="D7" s="158"/>
      <c r="E7" s="158"/>
      <c r="F7" s="158"/>
      <c r="G7" s="159"/>
      <c r="H7" s="159"/>
      <c r="I7" s="159"/>
      <c r="J7" s="159"/>
      <c r="K7" s="159"/>
      <c r="L7" s="159"/>
      <c r="M7" s="159"/>
      <c r="N7" s="159"/>
      <c r="O7" s="159"/>
      <c r="P7" s="159"/>
      <c r="Q7" s="159"/>
      <c r="R7" s="159"/>
      <c r="S7" s="159"/>
    </row>
    <row r="8" spans="3:19" ht="3.75" customHeight="1">
      <c r="S8" s="24"/>
    </row>
    <row r="9" spans="3:19" ht="12.75" customHeight="1">
      <c r="D9" s="192" t="s">
        <v>128</v>
      </c>
      <c r="E9" s="193"/>
      <c r="F9" s="193"/>
      <c r="G9" s="193"/>
      <c r="H9" s="193"/>
      <c r="I9" s="193"/>
      <c r="J9" s="193"/>
      <c r="K9" s="193"/>
      <c r="L9" s="193"/>
      <c r="M9" s="193"/>
      <c r="N9" s="193"/>
      <c r="O9" s="193"/>
      <c r="P9" s="193"/>
      <c r="Q9" s="193"/>
      <c r="R9" s="193"/>
      <c r="S9" s="193"/>
    </row>
    <row r="10" spans="3:19" ht="40.5" customHeight="1">
      <c r="D10" s="193"/>
      <c r="E10" s="193"/>
      <c r="F10" s="193"/>
      <c r="G10" s="193"/>
      <c r="H10" s="193"/>
      <c r="I10" s="193"/>
      <c r="J10" s="193"/>
      <c r="K10" s="193"/>
      <c r="L10" s="193"/>
      <c r="M10" s="193"/>
      <c r="N10" s="193"/>
      <c r="O10" s="193"/>
      <c r="P10" s="193"/>
      <c r="Q10" s="193"/>
      <c r="R10" s="193"/>
      <c r="S10" s="193"/>
    </row>
    <row r="11" spans="3:19">
      <c r="D11" s="21"/>
      <c r="E11" s="21"/>
      <c r="F11" s="21"/>
      <c r="G11" s="21"/>
      <c r="H11" s="21"/>
      <c r="I11" s="21"/>
      <c r="J11" s="21"/>
      <c r="K11" s="21"/>
      <c r="L11" s="21"/>
      <c r="M11" s="21"/>
      <c r="N11" s="21"/>
      <c r="O11" s="21"/>
      <c r="P11" s="21"/>
      <c r="Q11" s="21"/>
      <c r="R11" s="21"/>
      <c r="S11" s="21"/>
    </row>
    <row r="12" spans="3:19">
      <c r="C12" s="157" t="s">
        <v>21</v>
      </c>
      <c r="D12" s="160"/>
      <c r="E12" s="160"/>
      <c r="F12" s="160"/>
      <c r="G12" s="160"/>
      <c r="H12" s="160"/>
      <c r="I12" s="160"/>
      <c r="J12" s="160"/>
      <c r="K12" s="160"/>
      <c r="L12" s="160"/>
      <c r="M12" s="160"/>
      <c r="N12" s="160"/>
      <c r="O12" s="160"/>
      <c r="P12" s="160"/>
      <c r="Q12" s="160"/>
      <c r="R12" s="160"/>
      <c r="S12" s="160"/>
    </row>
    <row r="13" spans="3:19" ht="3.75" customHeight="1"/>
    <row r="14" spans="3:19" ht="14.25" customHeight="1">
      <c r="D14" s="194" t="s">
        <v>144</v>
      </c>
      <c r="E14" s="194"/>
      <c r="F14" s="194"/>
      <c r="G14" s="194"/>
      <c r="H14" s="194"/>
      <c r="I14" s="194"/>
      <c r="J14" s="194"/>
      <c r="K14" s="194"/>
      <c r="L14" s="194"/>
      <c r="M14" s="194"/>
      <c r="N14" s="194"/>
      <c r="O14" s="194"/>
      <c r="P14" s="194"/>
      <c r="Q14" s="194"/>
      <c r="R14" s="194"/>
      <c r="S14" s="21"/>
    </row>
    <row r="15" spans="3:19">
      <c r="D15" s="21"/>
      <c r="E15" s="21"/>
      <c r="F15" s="21"/>
      <c r="G15" s="21"/>
      <c r="H15" s="21"/>
      <c r="I15" s="21"/>
      <c r="J15" s="21"/>
      <c r="K15" s="21"/>
      <c r="L15" s="21"/>
      <c r="M15" s="21"/>
      <c r="N15" s="21"/>
      <c r="O15" s="21"/>
      <c r="P15" s="21"/>
      <c r="Q15" s="21"/>
      <c r="R15" s="21"/>
      <c r="S15" s="21"/>
    </row>
    <row r="16" spans="3:19">
      <c r="C16" s="18" t="s">
        <v>22</v>
      </c>
    </row>
    <row r="17" spans="3:19" ht="11.25" customHeight="1"/>
    <row r="18" spans="3:19" ht="6.75" customHeight="1">
      <c r="C18" s="153"/>
      <c r="D18" s="155"/>
      <c r="E18" s="155"/>
      <c r="F18" s="155"/>
      <c r="G18" s="155"/>
      <c r="H18" s="152"/>
      <c r="I18" s="152"/>
      <c r="J18" s="21"/>
      <c r="K18" s="21"/>
      <c r="L18" s="21"/>
      <c r="M18" s="21"/>
      <c r="N18" s="21"/>
      <c r="O18" s="21"/>
      <c r="P18" s="21"/>
      <c r="Q18" s="21"/>
      <c r="R18" s="21"/>
      <c r="S18" s="21"/>
    </row>
    <row r="19" spans="3:19" ht="11.25" customHeight="1">
      <c r="C19" s="154"/>
      <c r="I19" s="151"/>
    </row>
    <row r="20" spans="3:19" ht="17.25" customHeight="1">
      <c r="C20" s="154"/>
      <c r="I20" s="151"/>
    </row>
    <row r="21" spans="3:19" ht="19.5" customHeight="1">
      <c r="C21" s="154"/>
    </row>
    <row r="22" spans="3:19" ht="19.5" customHeight="1">
      <c r="C22" s="154"/>
      <c r="I22" s="22" t="s">
        <v>20</v>
      </c>
    </row>
    <row r="23" spans="3:19" ht="9" customHeight="1">
      <c r="C23" s="154"/>
    </row>
    <row r="24" spans="3:19" ht="19.5" customHeight="1">
      <c r="C24" s="154"/>
      <c r="N24" s="23" t="s">
        <v>15</v>
      </c>
    </row>
    <row r="25" spans="3:19" ht="19.5" customHeight="1">
      <c r="C25" s="154"/>
      <c r="N25" s="23" t="s">
        <v>16</v>
      </c>
    </row>
    <row r="26" spans="3:19" ht="17.25" customHeight="1">
      <c r="C26" s="154"/>
      <c r="I26" s="151"/>
    </row>
    <row r="27" spans="3:19" ht="10.5" customHeight="1">
      <c r="C27" s="154"/>
      <c r="E27" s="151"/>
      <c r="F27" s="151"/>
      <c r="G27" s="151"/>
      <c r="H27" s="151"/>
      <c r="I27" s="151"/>
      <c r="M27" s="21"/>
      <c r="Q27" s="35"/>
      <c r="R27" s="35"/>
    </row>
    <row r="28" spans="3:19" ht="6.75" customHeight="1">
      <c r="C28" s="152"/>
      <c r="D28" s="152"/>
      <c r="E28" s="152"/>
      <c r="F28" s="152"/>
      <c r="G28" s="152"/>
      <c r="H28" s="152"/>
      <c r="I28" s="152"/>
      <c r="J28" s="21"/>
      <c r="K28" s="21"/>
      <c r="L28" s="21"/>
      <c r="Q28" s="35"/>
      <c r="R28" s="35"/>
      <c r="S28" s="21"/>
    </row>
    <row r="30" spans="3:19" ht="4.5" customHeight="1"/>
    <row r="31" spans="3:19">
      <c r="C31" s="161"/>
      <c r="D31" s="162"/>
      <c r="E31" s="162"/>
      <c r="F31" s="162"/>
      <c r="G31" s="163"/>
      <c r="H31" s="163"/>
      <c r="I31" s="163"/>
      <c r="J31" s="163"/>
      <c r="K31" s="163"/>
      <c r="L31" s="163"/>
      <c r="M31" s="163"/>
      <c r="N31" s="163"/>
      <c r="O31" s="163"/>
      <c r="P31" s="163"/>
      <c r="Q31" s="163"/>
      <c r="R31" s="163"/>
      <c r="S31" s="163"/>
    </row>
    <row r="32" spans="3:19" ht="3.75" customHeight="1">
      <c r="S32" s="24"/>
    </row>
    <row r="33" spans="3:19" ht="10.5" customHeight="1">
      <c r="D33" s="185"/>
      <c r="E33" s="186"/>
      <c r="F33" s="186"/>
      <c r="G33" s="186"/>
      <c r="H33" s="186"/>
      <c r="I33" s="186"/>
      <c r="J33" s="186"/>
      <c r="K33" s="186"/>
      <c r="L33" s="186"/>
      <c r="M33" s="186"/>
      <c r="N33" s="186"/>
      <c r="O33" s="186"/>
      <c r="P33" s="186"/>
      <c r="Q33" s="186"/>
      <c r="R33" s="186"/>
      <c r="S33" s="186"/>
    </row>
    <row r="34" spans="3:19" ht="67.5" customHeight="1">
      <c r="D34" s="186"/>
      <c r="E34" s="186"/>
      <c r="F34" s="186"/>
      <c r="G34" s="186"/>
      <c r="H34" s="186"/>
      <c r="I34" s="186"/>
      <c r="J34" s="186"/>
      <c r="K34" s="186"/>
      <c r="L34" s="186"/>
      <c r="M34" s="186"/>
      <c r="N34" s="186"/>
      <c r="O34" s="186"/>
      <c r="P34" s="186"/>
      <c r="Q34" s="186"/>
      <c r="R34" s="186"/>
      <c r="S34" s="186"/>
    </row>
    <row r="35" spans="3:19" ht="6" customHeight="1"/>
    <row r="36" spans="3:19" ht="3" customHeight="1">
      <c r="C36" s="151"/>
      <c r="D36" s="151"/>
      <c r="E36" s="151"/>
      <c r="F36" s="151"/>
      <c r="G36" s="151"/>
      <c r="H36" s="151"/>
      <c r="I36" s="151"/>
      <c r="J36" s="151"/>
      <c r="K36" s="151"/>
      <c r="L36" s="151"/>
      <c r="M36" s="151"/>
      <c r="N36" s="151"/>
      <c r="O36" s="151"/>
      <c r="P36" s="151"/>
      <c r="Q36" s="151"/>
      <c r="R36" s="151"/>
      <c r="S36" s="151"/>
    </row>
    <row r="37" spans="3:19" ht="3" customHeight="1">
      <c r="C37" s="164"/>
      <c r="D37" s="164"/>
      <c r="E37" s="164"/>
      <c r="F37" s="164"/>
      <c r="G37" s="164"/>
      <c r="H37" s="164"/>
      <c r="I37" s="164"/>
      <c r="J37" s="164"/>
      <c r="K37" s="164"/>
      <c r="L37" s="164"/>
      <c r="M37" s="164"/>
      <c r="N37" s="164"/>
      <c r="O37" s="164"/>
      <c r="P37" s="164"/>
      <c r="Q37" s="164"/>
      <c r="R37" s="164"/>
      <c r="S37" s="151"/>
    </row>
    <row r="38" spans="3:19" ht="5.25" customHeight="1">
      <c r="C38" s="24"/>
      <c r="D38" s="24"/>
      <c r="E38" s="24"/>
      <c r="F38" s="24"/>
      <c r="G38" s="24"/>
      <c r="H38" s="24"/>
      <c r="I38" s="24"/>
      <c r="J38" s="24"/>
      <c r="K38" s="24"/>
      <c r="L38" s="24"/>
      <c r="M38" s="24"/>
      <c r="N38" s="24"/>
      <c r="O38" s="24"/>
      <c r="P38" s="24"/>
      <c r="Q38" s="24"/>
      <c r="R38" s="24"/>
    </row>
    <row r="39" spans="3:19" ht="37.5" customHeight="1">
      <c r="C39" s="187" t="s">
        <v>145</v>
      </c>
      <c r="D39" s="187"/>
      <c r="E39" s="187"/>
      <c r="F39" s="187"/>
      <c r="G39" s="187"/>
      <c r="H39" s="187"/>
      <c r="I39" s="187"/>
      <c r="J39" s="187"/>
      <c r="K39" s="187"/>
      <c r="L39" s="187"/>
      <c r="M39" s="187"/>
      <c r="N39" s="187"/>
      <c r="O39" s="187"/>
      <c r="P39" s="187"/>
      <c r="Q39" s="187"/>
      <c r="R39" s="187"/>
    </row>
    <row r="40" spans="3:19" ht="7.5" customHeight="1"/>
    <row r="41" spans="3:19" ht="18" customHeight="1" thickBot="1">
      <c r="C41" s="188" t="s">
        <v>146</v>
      </c>
      <c r="D41" s="188"/>
      <c r="E41" s="188"/>
      <c r="F41" s="188"/>
      <c r="G41" s="188"/>
      <c r="H41" s="188"/>
      <c r="I41" s="188"/>
      <c r="J41" s="188"/>
      <c r="K41" s="188"/>
      <c r="L41" s="188"/>
      <c r="M41" s="188"/>
      <c r="N41" s="188"/>
      <c r="O41" s="188"/>
      <c r="P41" s="188"/>
      <c r="Q41" s="188"/>
      <c r="R41" s="188"/>
      <c r="S41" s="188"/>
    </row>
    <row r="42" spans="3:19" ht="38.25" customHeight="1">
      <c r="C42" s="191" t="s">
        <v>147</v>
      </c>
      <c r="D42" s="191"/>
      <c r="E42" s="191"/>
      <c r="F42" s="191"/>
      <c r="G42" s="191"/>
      <c r="H42" s="191"/>
      <c r="I42" s="191"/>
      <c r="J42" s="191"/>
      <c r="K42" s="191"/>
      <c r="L42" s="191"/>
      <c r="M42" s="191"/>
      <c r="N42" s="191"/>
      <c r="O42" s="191"/>
      <c r="P42" s="191"/>
      <c r="Q42" s="191"/>
      <c r="R42" s="191"/>
      <c r="S42" s="191"/>
    </row>
    <row r="43" spans="3:19" ht="19.5" customHeight="1">
      <c r="C43" s="189"/>
      <c r="D43" s="190"/>
      <c r="E43" s="190"/>
      <c r="F43" s="190"/>
      <c r="G43" s="190"/>
      <c r="H43" s="190"/>
      <c r="I43" s="190"/>
      <c r="J43" s="190"/>
      <c r="K43" s="190"/>
      <c r="L43" s="190"/>
      <c r="M43" s="190"/>
      <c r="N43" s="190"/>
      <c r="O43" s="190"/>
      <c r="P43" s="190"/>
      <c r="Q43" s="190"/>
      <c r="R43" s="190"/>
      <c r="S43" s="190"/>
    </row>
  </sheetData>
  <sheetProtection algorithmName="SHA-512" hashValue="dzc4ldIJCpXRIfjEmyfjrZjgcbulD3QAHc/gcAufP5ZBYfPkGJAY5jFct+Wo9ym+rQaWXpqa0+GtP0LeWZUP6Q==" saltValue="91op1ZT/CrYypLddlaTccQ==" spinCount="100000" sheet="1" objects="1" scenarios="1" selectLockedCells="1"/>
  <mergeCells count="8">
    <mergeCell ref="D2:L2"/>
    <mergeCell ref="D33:S34"/>
    <mergeCell ref="C39:R39"/>
    <mergeCell ref="C41:S41"/>
    <mergeCell ref="C43:S43"/>
    <mergeCell ref="C42:S42"/>
    <mergeCell ref="D9:S10"/>
    <mergeCell ref="D14:R14"/>
  </mergeCells>
  <phoneticPr fontId="2" type="noConversion"/>
  <pageMargins left="0.39370078740157483" right="0.39370078740157483" top="0.39370078740157483" bottom="0.39370078740157483" header="0.51181102362204722" footer="0.4"/>
  <pageSetup paperSize="9" scale="91" orientation="landscape" r:id="rId1"/>
  <headerFooter alignWithMargins="0"/>
  <cellWatches>
    <cellWatch r="N24"/>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pageSetUpPr fitToPage="1"/>
  </sheetPr>
  <dimension ref="C1:AW54"/>
  <sheetViews>
    <sheetView showGridLines="0" topLeftCell="A7" zoomScale="80" zoomScaleNormal="85" zoomScaleSheetLayoutView="80" workbookViewId="0">
      <selection activeCell="O26" sqref="O26"/>
    </sheetView>
  </sheetViews>
  <sheetFormatPr defaultRowHeight="12.75"/>
  <cols>
    <col min="1" max="1" width="3" style="18" customWidth="1"/>
    <col min="2" max="2" width="3.140625" style="18" customWidth="1"/>
    <col min="3" max="3" width="1.42578125" style="18" customWidth="1"/>
    <col min="4" max="4" width="3.140625" style="18" customWidth="1"/>
    <col min="5" max="5" width="15.140625" style="18" customWidth="1"/>
    <col min="6" max="6" width="10.28515625" style="18" customWidth="1"/>
    <col min="7" max="7" width="10.42578125" style="18" customWidth="1"/>
    <col min="8" max="8" width="2.28515625" style="18" customWidth="1"/>
    <col min="9" max="9" width="1.42578125" style="18" customWidth="1"/>
    <col min="10" max="10" width="8.28515625" style="18" customWidth="1"/>
    <col min="11" max="11" width="9.140625" style="18"/>
    <col min="12" max="12" width="14" style="18" customWidth="1"/>
    <col min="13" max="13" width="9" style="18" customWidth="1"/>
    <col min="14" max="14" width="41.140625" style="18" customWidth="1"/>
    <col min="15" max="15" width="17.42578125" style="18" customWidth="1"/>
    <col min="16" max="16" width="3" style="18" customWidth="1"/>
    <col min="17" max="17" width="21.5703125" style="18" customWidth="1"/>
    <col min="18" max="18" width="4.7109375" style="18" customWidth="1"/>
    <col min="19" max="19" width="3.140625" style="19" customWidth="1"/>
    <col min="20" max="49" width="9.140625" style="19"/>
    <col min="50" max="16384" width="9.140625" style="18"/>
  </cols>
  <sheetData>
    <row r="1" spans="3:19" ht="6" customHeight="1"/>
    <row r="2" spans="3:19" ht="17.25" customHeight="1">
      <c r="D2" s="184" t="s">
        <v>32</v>
      </c>
      <c r="E2" s="184"/>
      <c r="F2" s="184"/>
      <c r="G2" s="184"/>
      <c r="H2" s="184"/>
      <c r="I2" s="184"/>
      <c r="J2" s="184"/>
      <c r="K2" s="184"/>
      <c r="L2" s="184"/>
    </row>
    <row r="3" spans="3:19" ht="6" customHeight="1"/>
    <row r="4" spans="3:19" ht="3" customHeight="1">
      <c r="C4" s="154"/>
      <c r="D4" s="154"/>
      <c r="E4" s="154"/>
      <c r="F4" s="154"/>
      <c r="G4" s="154"/>
      <c r="H4" s="154"/>
      <c r="I4" s="154"/>
      <c r="J4" s="154"/>
      <c r="K4" s="154"/>
      <c r="L4" s="154"/>
      <c r="M4" s="154"/>
      <c r="N4" s="154"/>
      <c r="O4" s="154"/>
      <c r="P4" s="154"/>
      <c r="Q4" s="154"/>
      <c r="R4" s="154"/>
      <c r="S4" s="154"/>
    </row>
    <row r="5" spans="3:19" ht="3" customHeight="1">
      <c r="C5" s="156"/>
      <c r="D5" s="156"/>
      <c r="E5" s="156"/>
      <c r="F5" s="156"/>
      <c r="G5" s="156"/>
      <c r="H5" s="156"/>
      <c r="I5" s="156"/>
      <c r="J5" s="156"/>
      <c r="K5" s="156"/>
      <c r="L5" s="156"/>
      <c r="M5" s="156"/>
      <c r="N5" s="156"/>
      <c r="O5" s="156"/>
      <c r="P5" s="156"/>
      <c r="Q5" s="156"/>
      <c r="R5" s="156"/>
      <c r="S5" s="156"/>
    </row>
    <row r="7" spans="3:19">
      <c r="C7" s="157" t="s">
        <v>123</v>
      </c>
      <c r="D7" s="158"/>
      <c r="E7" s="158"/>
      <c r="F7" s="158"/>
      <c r="G7" s="159"/>
      <c r="H7" s="159"/>
      <c r="I7" s="159"/>
      <c r="J7" s="159"/>
      <c r="K7" s="159"/>
      <c r="L7" s="159"/>
      <c r="M7" s="159"/>
      <c r="N7" s="159"/>
      <c r="O7" s="159"/>
      <c r="P7" s="159"/>
      <c r="Q7" s="159"/>
      <c r="R7" s="159"/>
    </row>
    <row r="8" spans="3:19" ht="3.75" customHeight="1">
      <c r="R8" s="24"/>
    </row>
    <row r="9" spans="3:19" ht="30" customHeight="1">
      <c r="D9" s="192" t="s">
        <v>124</v>
      </c>
      <c r="E9" s="193"/>
      <c r="F9" s="193"/>
      <c r="G9" s="193"/>
      <c r="H9" s="193"/>
      <c r="I9" s="193"/>
      <c r="J9" s="193"/>
      <c r="K9" s="193"/>
      <c r="L9" s="193"/>
      <c r="M9" s="193"/>
      <c r="N9" s="193"/>
      <c r="O9" s="193"/>
      <c r="P9" s="193"/>
      <c r="Q9" s="193"/>
      <c r="R9" s="193"/>
    </row>
    <row r="10" spans="3:19" ht="60" customHeight="1">
      <c r="D10" s="192" t="s">
        <v>125</v>
      </c>
      <c r="E10" s="193"/>
      <c r="F10" s="193"/>
      <c r="G10" s="193"/>
      <c r="H10" s="193"/>
      <c r="I10" s="193"/>
      <c r="J10" s="193"/>
      <c r="K10" s="193"/>
      <c r="L10" s="193"/>
      <c r="M10" s="193"/>
      <c r="N10" s="193"/>
      <c r="O10" s="193"/>
      <c r="P10" s="193"/>
      <c r="Q10" s="193"/>
      <c r="R10" s="193"/>
    </row>
    <row r="11" spans="3:19" ht="7.5" customHeight="1">
      <c r="D11" s="21"/>
      <c r="E11" s="21"/>
      <c r="F11" s="21"/>
      <c r="G11" s="21"/>
      <c r="H11" s="21"/>
      <c r="I11" s="21"/>
      <c r="J11" s="21"/>
      <c r="K11" s="21"/>
      <c r="L11" s="21"/>
      <c r="M11" s="21"/>
      <c r="N11" s="21"/>
      <c r="O11" s="21"/>
      <c r="P11" s="21"/>
      <c r="Q11" s="21"/>
      <c r="R11" s="21"/>
    </row>
    <row r="12" spans="3:19" ht="27.75" customHeight="1">
      <c r="C12" s="199" t="s">
        <v>126</v>
      </c>
      <c r="D12" s="200"/>
      <c r="E12" s="200"/>
      <c r="F12" s="200"/>
      <c r="G12" s="200"/>
      <c r="H12" s="200"/>
      <c r="I12" s="200"/>
      <c r="J12" s="200"/>
      <c r="K12" s="200"/>
      <c r="L12" s="200"/>
      <c r="M12" s="200"/>
      <c r="N12" s="200"/>
      <c r="O12" s="200"/>
      <c r="P12" s="200"/>
      <c r="Q12" s="200"/>
      <c r="R12" s="200"/>
    </row>
    <row r="13" spans="3:19" ht="3.75" customHeight="1"/>
    <row r="14" spans="3:19" ht="17.25" customHeight="1">
      <c r="D14" s="194" t="s">
        <v>90</v>
      </c>
      <c r="E14" s="203"/>
      <c r="F14" s="203"/>
      <c r="G14" s="203"/>
      <c r="H14" s="203"/>
      <c r="I14" s="203"/>
      <c r="J14" s="203"/>
      <c r="K14" s="203"/>
      <c r="L14" s="203"/>
      <c r="M14" s="203"/>
      <c r="N14" s="203"/>
      <c r="O14" s="203"/>
      <c r="P14" s="203"/>
      <c r="Q14" s="203"/>
      <c r="R14" s="21"/>
    </row>
    <row r="15" spans="3:19" ht="27" customHeight="1">
      <c r="D15" s="20"/>
      <c r="E15" s="211" t="s">
        <v>150</v>
      </c>
      <c r="F15" s="203"/>
      <c r="G15" s="203"/>
      <c r="H15" s="203"/>
      <c r="I15" s="203"/>
      <c r="J15" s="203"/>
      <c r="K15" s="203"/>
      <c r="L15" s="203"/>
      <c r="M15" s="203"/>
      <c r="N15" s="203"/>
      <c r="O15" s="203"/>
      <c r="P15" s="203"/>
      <c r="Q15" s="203"/>
      <c r="R15" s="203"/>
    </row>
    <row r="16" spans="3:19" ht="107.25" customHeight="1">
      <c r="D16" s="103"/>
      <c r="E16" s="207" t="s">
        <v>159</v>
      </c>
      <c r="F16" s="208"/>
      <c r="G16" s="208"/>
      <c r="H16" s="208"/>
      <c r="I16" s="208"/>
      <c r="J16" s="208"/>
      <c r="K16" s="208"/>
      <c r="L16" s="208"/>
      <c r="M16" s="208"/>
      <c r="N16" s="208"/>
      <c r="O16" s="208"/>
      <c r="P16" s="208"/>
      <c r="Q16" s="208"/>
      <c r="R16" s="208"/>
    </row>
    <row r="17" spans="3:18" ht="6" customHeight="1">
      <c r="D17" s="21"/>
      <c r="E17" s="21"/>
      <c r="F17" s="21"/>
      <c r="G17" s="21"/>
      <c r="H17" s="21"/>
      <c r="I17" s="21"/>
      <c r="J17" s="21"/>
      <c r="K17" s="21"/>
      <c r="L17" s="21"/>
      <c r="M17" s="21"/>
      <c r="N17" s="21"/>
      <c r="O17" s="21"/>
      <c r="P17" s="21"/>
      <c r="Q17" s="21"/>
      <c r="R17" s="21"/>
    </row>
    <row r="18" spans="3:18">
      <c r="C18" s="18" t="s">
        <v>24</v>
      </c>
    </row>
    <row r="19" spans="3:18" ht="6.75" customHeight="1"/>
    <row r="20" spans="3:18" ht="6.75" customHeight="1">
      <c r="C20" s="153"/>
      <c r="D20" s="155"/>
      <c r="E20" s="155"/>
      <c r="F20" s="155"/>
      <c r="G20" s="155"/>
      <c r="H20" s="152"/>
      <c r="I20" s="152"/>
      <c r="J20" s="21"/>
      <c r="K20" s="21"/>
      <c r="L20" s="21"/>
      <c r="M20" s="21"/>
      <c r="N20" s="21"/>
      <c r="O20" s="21"/>
      <c r="P20" s="21"/>
      <c r="Q20" s="21"/>
      <c r="R20" s="21"/>
    </row>
    <row r="21" spans="3:18">
      <c r="C21" s="154"/>
    </row>
    <row r="22" spans="3:18" ht="11.25" customHeight="1">
      <c r="C22" s="154"/>
      <c r="I22" s="151"/>
    </row>
    <row r="23" spans="3:18" ht="13.5" thickBot="1">
      <c r="C23" s="154"/>
    </row>
    <row r="24" spans="3:18" ht="15" customHeight="1" thickBot="1">
      <c r="C24" s="154"/>
      <c r="H24" s="22"/>
      <c r="I24" s="206" t="s">
        <v>26</v>
      </c>
      <c r="J24" s="206"/>
      <c r="K24" s="206"/>
      <c r="L24" s="206"/>
      <c r="M24" s="206"/>
      <c r="N24" s="206"/>
      <c r="O24" s="179"/>
      <c r="P24" s="27"/>
      <c r="Q24"/>
    </row>
    <row r="25" spans="3:18" ht="6.75" customHeight="1" thickBot="1">
      <c r="C25" s="154"/>
      <c r="H25" s="22"/>
      <c r="I25" s="27"/>
      <c r="J25" s="27"/>
      <c r="K25" s="27"/>
      <c r="L25" s="27"/>
      <c r="M25" s="28"/>
      <c r="N25" s="27"/>
      <c r="O25" s="27"/>
      <c r="P25" s="27"/>
      <c r="Q25"/>
    </row>
    <row r="26" spans="3:18" ht="15.75" customHeight="1" thickBot="1">
      <c r="C26" s="154"/>
      <c r="H26" s="22"/>
      <c r="I26" s="204" t="s">
        <v>27</v>
      </c>
      <c r="J26" s="204"/>
      <c r="K26" s="204"/>
      <c r="L26" s="204"/>
      <c r="M26" s="204"/>
      <c r="N26" s="204"/>
      <c r="O26" s="180"/>
      <c r="P26" s="22"/>
      <c r="Q26"/>
    </row>
    <row r="27" spans="3:18" ht="12" customHeight="1">
      <c r="C27" s="154"/>
      <c r="H27" s="22"/>
      <c r="I27" s="204"/>
      <c r="J27" s="204"/>
      <c r="K27" s="204"/>
      <c r="L27" s="204"/>
      <c r="M27" s="204"/>
      <c r="N27" s="204"/>
      <c r="O27" s="22"/>
      <c r="Q27"/>
    </row>
    <row r="28" spans="3:18" ht="12" customHeight="1" thickBot="1">
      <c r="C28" s="154"/>
      <c r="H28" s="165"/>
      <c r="I28" s="165"/>
      <c r="J28" s="165"/>
      <c r="K28" s="165"/>
      <c r="L28" s="165"/>
      <c r="M28" s="165"/>
      <c r="N28" s="165"/>
      <c r="O28" s="165"/>
      <c r="P28" s="166"/>
      <c r="Q28" s="166"/>
    </row>
    <row r="29" spans="3:18" ht="12.75" customHeight="1" thickBot="1">
      <c r="C29" s="154"/>
    </row>
    <row r="30" spans="3:18" ht="15" customHeight="1" thickBot="1">
      <c r="C30" s="154"/>
      <c r="I30" s="205" t="s">
        <v>31</v>
      </c>
      <c r="J30" s="206"/>
      <c r="K30" s="206"/>
      <c r="L30" s="206"/>
      <c r="M30" s="206"/>
      <c r="N30" s="206"/>
      <c r="O30" s="171">
        <f>+Input!D12</f>
        <v>0</v>
      </c>
      <c r="Q30" s="18" t="str">
        <f>+Input!F52</f>
        <v/>
      </c>
    </row>
    <row r="31" spans="3:18" ht="5.25" customHeight="1">
      <c r="C31" s="154"/>
      <c r="H31" s="22"/>
      <c r="I31" s="22"/>
      <c r="J31" s="22"/>
      <c r="K31" s="22"/>
      <c r="L31" s="22"/>
      <c r="M31" s="22"/>
      <c r="N31" s="22"/>
      <c r="O31" s="22"/>
    </row>
    <row r="32" spans="3:18" ht="10.5" customHeight="1" thickBot="1">
      <c r="C32" s="154"/>
      <c r="N32" s="23"/>
    </row>
    <row r="33" spans="3:19" ht="16.5" customHeight="1" thickBot="1">
      <c r="C33" s="151"/>
      <c r="D33" s="151"/>
      <c r="J33" s="209" t="s">
        <v>100</v>
      </c>
      <c r="K33" s="209"/>
      <c r="L33" s="209"/>
      <c r="M33" s="209"/>
      <c r="N33" s="23"/>
      <c r="O33" s="172">
        <f>+Input!D15</f>
        <v>0</v>
      </c>
    </row>
    <row r="34" spans="3:19" ht="4.5" customHeight="1" thickBot="1">
      <c r="C34" s="151"/>
      <c r="D34" s="151"/>
      <c r="H34" s="25"/>
      <c r="I34" s="25"/>
      <c r="J34" s="25"/>
      <c r="K34" s="25"/>
      <c r="L34" s="25"/>
      <c r="M34" s="25"/>
      <c r="N34" s="25"/>
      <c r="O34" s="29"/>
    </row>
    <row r="35" spans="3:19" ht="15" customHeight="1" thickBot="1">
      <c r="C35" s="151"/>
      <c r="D35" s="151"/>
      <c r="H35" s="25"/>
      <c r="I35" s="25"/>
      <c r="J35" s="209" t="s">
        <v>8</v>
      </c>
      <c r="K35" s="209"/>
      <c r="L35" s="209"/>
      <c r="M35" s="209"/>
      <c r="N35" s="25"/>
      <c r="O35" s="172">
        <f>+Input!D14</f>
        <v>0</v>
      </c>
    </row>
    <row r="36" spans="3:19" ht="10.5" customHeight="1">
      <c r="C36" s="151"/>
      <c r="D36" s="151"/>
      <c r="N36" s="23"/>
    </row>
    <row r="37" spans="3:19" ht="45.75" customHeight="1">
      <c r="C37" s="151"/>
      <c r="D37" s="151"/>
      <c r="K37" s="210" t="s">
        <v>122</v>
      </c>
      <c r="L37" s="210"/>
      <c r="M37" s="210"/>
      <c r="N37" s="210"/>
      <c r="O37" s="210"/>
      <c r="P37" s="210"/>
      <c r="Q37" s="210"/>
      <c r="R37" s="210"/>
    </row>
    <row r="38" spans="3:19" ht="10.5" customHeight="1">
      <c r="C38" s="151"/>
      <c r="D38" s="151"/>
      <c r="N38" s="23"/>
    </row>
    <row r="39" spans="3:19" ht="15" customHeight="1">
      <c r="C39" s="151"/>
      <c r="D39" s="151"/>
      <c r="I39" s="151"/>
      <c r="K39" s="210" t="str">
        <f>+Input!B52</f>
        <v/>
      </c>
      <c r="L39" s="210"/>
      <c r="M39" s="210"/>
      <c r="N39" s="210"/>
      <c r="O39" s="210"/>
      <c r="P39" s="210"/>
      <c r="Q39" s="210"/>
      <c r="R39" s="210"/>
    </row>
    <row r="40" spans="3:19" ht="15.75" customHeight="1">
      <c r="C40" s="151"/>
      <c r="D40" s="151"/>
      <c r="I40" s="151"/>
      <c r="K40" s="210"/>
      <c r="L40" s="210"/>
      <c r="M40" s="210"/>
      <c r="N40" s="210"/>
      <c r="O40" s="210"/>
      <c r="P40" s="210"/>
      <c r="Q40" s="210"/>
      <c r="R40" s="210"/>
    </row>
    <row r="41" spans="3:19" ht="6.75" customHeight="1">
      <c r="C41" s="152"/>
      <c r="D41" s="152"/>
      <c r="E41" s="152"/>
      <c r="F41" s="152"/>
      <c r="G41" s="152"/>
      <c r="H41" s="152"/>
      <c r="I41" s="152"/>
      <c r="J41" s="21"/>
      <c r="K41" s="21"/>
      <c r="L41" s="21"/>
      <c r="M41" s="21"/>
      <c r="P41" s="21"/>
      <c r="Q41" s="21"/>
      <c r="R41" s="21"/>
    </row>
    <row r="43" spans="3:19" ht="3" customHeight="1">
      <c r="C43" s="154"/>
      <c r="D43" s="154"/>
      <c r="E43" s="154"/>
      <c r="F43" s="154"/>
      <c r="G43" s="154"/>
      <c r="H43" s="154"/>
      <c r="I43" s="154"/>
      <c r="J43" s="154"/>
      <c r="K43" s="154"/>
      <c r="L43" s="154"/>
      <c r="M43" s="154"/>
      <c r="N43" s="154"/>
      <c r="O43" s="154"/>
      <c r="P43" s="154"/>
      <c r="Q43" s="154"/>
      <c r="R43" s="154"/>
      <c r="S43" s="154"/>
    </row>
    <row r="44" spans="3:19" ht="3" customHeight="1">
      <c r="C44" s="156"/>
      <c r="D44" s="156"/>
      <c r="E44" s="156"/>
      <c r="F44" s="156"/>
      <c r="G44" s="156"/>
      <c r="H44" s="156"/>
      <c r="I44" s="156"/>
      <c r="J44" s="156"/>
      <c r="K44" s="156"/>
      <c r="L44" s="156"/>
      <c r="M44" s="156"/>
      <c r="N44" s="156"/>
      <c r="O44" s="156"/>
      <c r="P44" s="156"/>
      <c r="Q44" s="156"/>
      <c r="R44" s="156"/>
      <c r="S44" s="156"/>
    </row>
    <row r="45" spans="3:19" ht="8.25" customHeight="1">
      <c r="C45" s="24"/>
      <c r="D45" s="24"/>
      <c r="E45" s="24"/>
      <c r="F45" s="24"/>
      <c r="G45" s="24"/>
      <c r="H45" s="24"/>
      <c r="I45" s="24"/>
      <c r="J45" s="24"/>
      <c r="K45" s="24"/>
      <c r="L45" s="24"/>
      <c r="M45" s="24"/>
      <c r="N45" s="24"/>
      <c r="O45" s="24"/>
      <c r="P45" s="24"/>
      <c r="Q45" s="24"/>
    </row>
    <row r="46" spans="3:19" ht="18" customHeight="1" thickBot="1">
      <c r="C46" s="168" t="s">
        <v>29</v>
      </c>
      <c r="D46" s="169"/>
      <c r="E46" s="169"/>
      <c r="F46" s="169"/>
      <c r="G46" s="169"/>
      <c r="H46" s="169"/>
      <c r="I46" s="169"/>
      <c r="J46" s="169"/>
      <c r="K46" s="169"/>
      <c r="L46" s="169"/>
      <c r="M46" s="169"/>
      <c r="N46" s="169"/>
      <c r="O46" s="170" t="str">
        <f>Input!$D$1</f>
        <v>1° Gennaio 2019</v>
      </c>
      <c r="P46" s="169"/>
      <c r="Q46" s="169"/>
      <c r="R46" s="169"/>
    </row>
    <row r="47" spans="3:19" ht="5.25" customHeight="1">
      <c r="C47" s="202"/>
      <c r="D47" s="202"/>
      <c r="E47" s="202"/>
      <c r="F47" s="202"/>
      <c r="G47" s="202"/>
      <c r="H47" s="202"/>
      <c r="I47" s="202"/>
      <c r="J47" s="202"/>
      <c r="K47" s="202"/>
      <c r="L47" s="202"/>
      <c r="M47" s="202"/>
      <c r="N47" s="202"/>
      <c r="O47" s="202"/>
      <c r="P47" s="202"/>
      <c r="Q47" s="202"/>
    </row>
    <row r="48" spans="3:19" ht="15" customHeight="1">
      <c r="C48" s="33"/>
      <c r="D48" s="33"/>
      <c r="E48" s="195" t="s">
        <v>135</v>
      </c>
      <c r="F48" s="196"/>
      <c r="G48" s="196"/>
      <c r="H48" s="196"/>
      <c r="I48" s="196"/>
      <c r="J48" s="196"/>
      <c r="K48" s="196"/>
      <c r="P48" s="33"/>
      <c r="Q48" s="33"/>
      <c r="R48" s="33"/>
    </row>
    <row r="49" spans="3:20" ht="15" customHeight="1">
      <c r="C49" s="33"/>
      <c r="D49" s="33"/>
      <c r="E49" s="195" t="s">
        <v>132</v>
      </c>
      <c r="F49" s="201"/>
      <c r="G49" s="201"/>
      <c r="H49" s="201"/>
      <c r="I49" s="201"/>
      <c r="J49" s="201"/>
      <c r="K49" s="201"/>
      <c r="L49" s="141">
        <f>+Input!C22</f>
        <v>0.23612500000000003</v>
      </c>
      <c r="N49"/>
      <c r="O49"/>
      <c r="P49" s="33"/>
      <c r="Q49" s="33"/>
      <c r="R49" s="33"/>
    </row>
    <row r="50" spans="3:20" ht="15" customHeight="1">
      <c r="C50" s="33"/>
      <c r="D50" s="33"/>
      <c r="E50" s="195" t="s">
        <v>136</v>
      </c>
      <c r="F50" s="201"/>
      <c r="G50" s="201"/>
      <c r="H50" s="201"/>
      <c r="I50" s="201"/>
      <c r="J50" s="201"/>
      <c r="K50" s="201"/>
      <c r="L50" s="141">
        <f>+Input!C23</f>
        <v>0.23449999999999999</v>
      </c>
      <c r="N50"/>
      <c r="O50"/>
      <c r="P50" s="33"/>
      <c r="Q50" s="33"/>
      <c r="R50" s="33"/>
    </row>
    <row r="51" spans="3:20" ht="15" customHeight="1">
      <c r="C51" s="33"/>
      <c r="D51" s="33"/>
      <c r="E51" s="195" t="s">
        <v>91</v>
      </c>
      <c r="F51" s="195"/>
      <c r="G51" s="195"/>
      <c r="H51" s="195"/>
      <c r="I51" s="195"/>
      <c r="J51" s="195"/>
      <c r="K51" s="195"/>
      <c r="L51" s="126">
        <f>+Input!B30</f>
        <v>33</v>
      </c>
      <c r="M51" s="104"/>
      <c r="N51" s="197" t="s">
        <v>104</v>
      </c>
      <c r="O51" s="198"/>
      <c r="P51" s="198"/>
      <c r="Q51" s="198"/>
      <c r="R51" s="198"/>
      <c r="S51" s="115"/>
      <c r="T51" s="115"/>
    </row>
    <row r="54" spans="3:20">
      <c r="Q54" s="34" t="s">
        <v>25</v>
      </c>
    </row>
  </sheetData>
  <sheetProtection password="C314" sheet="1" objects="1" scenarios="1" selectLockedCells="1"/>
  <mergeCells count="20">
    <mergeCell ref="D2:L2"/>
    <mergeCell ref="C47:Q47"/>
    <mergeCell ref="D14:Q14"/>
    <mergeCell ref="D10:R10"/>
    <mergeCell ref="I26:N27"/>
    <mergeCell ref="I30:N30"/>
    <mergeCell ref="D9:R9"/>
    <mergeCell ref="E16:R16"/>
    <mergeCell ref="J33:M33"/>
    <mergeCell ref="J35:M35"/>
    <mergeCell ref="K39:R40"/>
    <mergeCell ref="E15:R15"/>
    <mergeCell ref="I24:N24"/>
    <mergeCell ref="K37:R37"/>
    <mergeCell ref="E51:K51"/>
    <mergeCell ref="E48:K48"/>
    <mergeCell ref="N51:R51"/>
    <mergeCell ref="C12:R12"/>
    <mergeCell ref="E49:K49"/>
    <mergeCell ref="E50:K50"/>
  </mergeCells>
  <phoneticPr fontId="2" type="noConversion"/>
  <dataValidations count="2">
    <dataValidation type="whole" allowBlank="1" showErrorMessage="1" error="Attenzione: sono ammessi solo valori compresi tra 0 e 92." sqref="O26" xr:uid="{00000000-0002-0000-0100-000000000000}">
      <formula1>0</formula1>
      <formula2>92</formula2>
    </dataValidation>
    <dataValidation type="decimal" operator="greaterThanOrEqual" allowBlank="1" showInputMessage="1" showErrorMessage="1" error="Attenzione: sono ammessi solo valori positivi." sqref="O24" xr:uid="{00000000-0002-0000-0100-000001000000}">
      <formula1>0</formula1>
    </dataValidation>
  </dataValidations>
  <pageMargins left="0.39370078740157483" right="0.39370078740157483" top="0.39370078740157483" bottom="0.39370078740157483" header="0.39370078740157483" footer="0.39370078740157483"/>
  <pageSetup paperSize="9" scale="68" orientation="landscape" r:id="rId1"/>
  <headerFooter alignWithMargins="0"/>
  <cellWatches>
    <cellWatch r="O24"/>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pageSetUpPr fitToPage="1"/>
  </sheetPr>
  <dimension ref="B1:AW79"/>
  <sheetViews>
    <sheetView showGridLines="0" topLeftCell="A10" zoomScale="80" zoomScaleNormal="80" workbookViewId="0">
      <selection activeCell="T37" sqref="T37"/>
    </sheetView>
  </sheetViews>
  <sheetFormatPr defaultRowHeight="12.75"/>
  <cols>
    <col min="1" max="1" width="3" style="18" customWidth="1"/>
    <col min="2" max="2" width="3.140625" style="18" customWidth="1"/>
    <col min="3" max="3" width="1.42578125" style="18" customWidth="1"/>
    <col min="4" max="4" width="2" style="18" customWidth="1"/>
    <col min="5" max="5" width="6.5703125" style="18" customWidth="1"/>
    <col min="6" max="7" width="10.28515625" style="18" customWidth="1"/>
    <col min="8" max="8" width="10.42578125" style="18" customWidth="1"/>
    <col min="9" max="9" width="2.28515625" style="18" customWidth="1"/>
    <col min="10" max="10" width="1.42578125" style="18" customWidth="1"/>
    <col min="11" max="11" width="8.42578125" style="18" customWidth="1"/>
    <col min="12" max="12" width="12.140625" style="18" customWidth="1"/>
    <col min="13" max="13" width="14.5703125" style="18" customWidth="1"/>
    <col min="14" max="14" width="20.140625" style="18" customWidth="1"/>
    <col min="15" max="15" width="2.7109375" style="18" customWidth="1"/>
    <col min="16" max="16" width="19.7109375" style="18" customWidth="1"/>
    <col min="17" max="17" width="2.85546875" style="18" customWidth="1"/>
    <col min="18" max="18" width="17.28515625" style="18" customWidth="1"/>
    <col min="19" max="19" width="3.28515625" style="18" customWidth="1"/>
    <col min="20" max="20" width="15.7109375" style="19" customWidth="1"/>
    <col min="21" max="49" width="9.140625" style="19"/>
    <col min="50" max="16384" width="9.140625" style="18"/>
  </cols>
  <sheetData>
    <row r="1" spans="2:20" ht="6" customHeight="1"/>
    <row r="2" spans="2:20" ht="17.25" customHeight="1">
      <c r="D2" s="184" t="s">
        <v>67</v>
      </c>
      <c r="E2" s="184"/>
      <c r="F2" s="184"/>
      <c r="G2" s="184"/>
      <c r="H2" s="184"/>
      <c r="I2" s="184"/>
      <c r="J2" s="184"/>
      <c r="K2" s="184"/>
      <c r="L2" s="184"/>
      <c r="M2" s="184"/>
    </row>
    <row r="3" spans="2:20" ht="6" customHeight="1">
      <c r="T3" s="18"/>
    </row>
    <row r="4" spans="2:20" ht="3" customHeight="1">
      <c r="C4" s="154"/>
      <c r="D4" s="154"/>
      <c r="E4" s="154"/>
      <c r="F4" s="154"/>
      <c r="G4" s="154"/>
      <c r="H4" s="154"/>
      <c r="I4" s="154"/>
      <c r="J4" s="154"/>
      <c r="K4" s="154"/>
      <c r="L4" s="154"/>
      <c r="M4" s="154"/>
      <c r="N4" s="154"/>
      <c r="O4" s="154"/>
      <c r="P4" s="154"/>
      <c r="Q4" s="154"/>
      <c r="R4" s="154"/>
      <c r="S4" s="154"/>
      <c r="T4" s="154"/>
    </row>
    <row r="5" spans="2:20" ht="3" customHeight="1">
      <c r="C5" s="156"/>
      <c r="D5" s="156"/>
      <c r="E5" s="156"/>
      <c r="F5" s="156"/>
      <c r="G5" s="156"/>
      <c r="H5" s="156"/>
      <c r="I5" s="156"/>
      <c r="J5" s="156"/>
      <c r="K5" s="156"/>
      <c r="L5" s="156"/>
      <c r="M5" s="156"/>
      <c r="N5" s="156"/>
      <c r="O5" s="156"/>
      <c r="P5" s="156"/>
      <c r="Q5" s="156"/>
      <c r="R5" s="156"/>
      <c r="S5" s="156"/>
      <c r="T5" s="156"/>
    </row>
    <row r="6" spans="2:20">
      <c r="C6" s="24"/>
      <c r="D6" s="24"/>
      <c r="E6" s="24"/>
      <c r="F6" s="24"/>
      <c r="G6" s="24"/>
      <c r="H6" s="24"/>
      <c r="I6" s="24"/>
      <c r="J6" s="24"/>
      <c r="K6" s="24"/>
      <c r="L6" s="24"/>
      <c r="M6" s="24"/>
      <c r="N6" s="24"/>
      <c r="O6" s="24"/>
      <c r="P6" s="24"/>
      <c r="Q6" s="24"/>
      <c r="R6" s="24"/>
      <c r="S6" s="24"/>
      <c r="T6" s="173"/>
    </row>
    <row r="7" spans="2:20">
      <c r="C7" s="157" t="s">
        <v>1</v>
      </c>
      <c r="D7" s="158"/>
      <c r="E7" s="158"/>
      <c r="F7" s="158"/>
      <c r="G7" s="158"/>
      <c r="H7" s="159"/>
      <c r="I7" s="159"/>
      <c r="J7" s="159"/>
      <c r="K7" s="159"/>
      <c r="L7" s="159"/>
      <c r="M7" s="159"/>
      <c r="N7" s="159"/>
      <c r="O7" s="159"/>
      <c r="P7" s="159"/>
      <c r="Q7" s="159"/>
      <c r="R7" s="159"/>
      <c r="S7" s="159"/>
      <c r="T7" s="159"/>
    </row>
    <row r="8" spans="2:20" ht="3.75" customHeight="1">
      <c r="S8" s="24"/>
    </row>
    <row r="9" spans="2:20" ht="32.25" customHeight="1">
      <c r="D9" s="194" t="s">
        <v>160</v>
      </c>
      <c r="E9" s="203"/>
      <c r="F9" s="203"/>
      <c r="G9" s="203"/>
      <c r="H9" s="203"/>
      <c r="I9" s="203"/>
      <c r="J9" s="203"/>
      <c r="K9" s="203"/>
      <c r="L9" s="203"/>
      <c r="M9" s="203"/>
      <c r="N9" s="203"/>
      <c r="O9" s="203"/>
      <c r="P9" s="203"/>
      <c r="Q9" s="203"/>
      <c r="R9" s="203"/>
      <c r="S9" s="203"/>
      <c r="T9" s="203"/>
    </row>
    <row r="10" spans="2:20" ht="8.25" customHeight="1">
      <c r="D10" s="203"/>
      <c r="E10" s="203"/>
      <c r="F10" s="203"/>
      <c r="G10" s="203"/>
      <c r="H10" s="203"/>
      <c r="I10" s="203"/>
      <c r="J10" s="203"/>
      <c r="K10" s="203"/>
      <c r="L10" s="203"/>
      <c r="M10" s="203"/>
      <c r="N10" s="203"/>
      <c r="O10" s="203"/>
      <c r="P10" s="203"/>
      <c r="Q10" s="203"/>
      <c r="R10" s="203"/>
      <c r="S10" s="203"/>
      <c r="T10" s="203"/>
    </row>
    <row r="11" spans="2:20" ht="7.5" customHeight="1">
      <c r="D11" s="21"/>
      <c r="E11" s="21"/>
      <c r="F11" s="21"/>
      <c r="G11" s="21"/>
      <c r="H11" s="21"/>
      <c r="I11" s="21"/>
      <c r="J11" s="21"/>
      <c r="K11" s="21"/>
      <c r="L11" s="21"/>
      <c r="M11" s="21"/>
      <c r="N11" s="21"/>
      <c r="O11" s="21"/>
      <c r="P11" s="21"/>
      <c r="Q11" s="21"/>
      <c r="R11" s="21"/>
      <c r="S11" s="21"/>
    </row>
    <row r="12" spans="2:20" ht="26.25" customHeight="1">
      <c r="B12" s="18" t="s">
        <v>2</v>
      </c>
      <c r="C12" s="199" t="s">
        <v>130</v>
      </c>
      <c r="D12" s="200"/>
      <c r="E12" s="200"/>
      <c r="F12" s="200"/>
      <c r="G12" s="200"/>
      <c r="H12" s="200"/>
      <c r="I12" s="200"/>
      <c r="J12" s="200"/>
      <c r="K12" s="200"/>
      <c r="L12" s="200"/>
      <c r="M12" s="200"/>
      <c r="N12" s="200"/>
      <c r="O12" s="200"/>
      <c r="P12" s="200"/>
      <c r="Q12" s="200"/>
      <c r="R12" s="200"/>
      <c r="S12" s="200"/>
      <c r="T12" s="200"/>
    </row>
    <row r="13" spans="2:20" ht="3.75" customHeight="1"/>
    <row r="14" spans="2:20" ht="12" customHeight="1">
      <c r="D14" s="10" t="s">
        <v>76</v>
      </c>
    </row>
    <row r="15" spans="2:20" ht="3.75" customHeight="1"/>
    <row r="16" spans="2:20" ht="14.25" customHeight="1">
      <c r="D16" s="20"/>
      <c r="E16" s="211" t="s">
        <v>30</v>
      </c>
      <c r="F16" s="211"/>
      <c r="G16" s="211"/>
      <c r="H16" s="211"/>
      <c r="I16" s="211"/>
      <c r="J16" s="211"/>
      <c r="K16" s="211"/>
      <c r="L16" s="211"/>
      <c r="M16" s="211"/>
      <c r="N16" s="211"/>
      <c r="O16" s="211"/>
      <c r="P16" s="211"/>
      <c r="Q16" s="211"/>
      <c r="R16" s="211"/>
      <c r="S16" s="21"/>
    </row>
    <row r="17" spans="3:22" ht="14.25" customHeight="1">
      <c r="D17" s="20"/>
      <c r="E17" s="26"/>
      <c r="F17" s="214" t="s">
        <v>37</v>
      </c>
      <c r="G17" s="193"/>
      <c r="H17" s="193"/>
      <c r="I17" s="193"/>
      <c r="J17" s="193"/>
      <c r="K17" s="193"/>
      <c r="L17" s="193"/>
      <c r="M17" s="193"/>
      <c r="N17" s="193"/>
      <c r="O17" s="193"/>
      <c r="P17" s="193"/>
      <c r="Q17" s="193"/>
      <c r="R17" s="193"/>
      <c r="S17" s="193"/>
    </row>
    <row r="18" spans="3:22" ht="3.75" customHeight="1">
      <c r="D18" s="20"/>
      <c r="E18" s="20"/>
      <c r="F18" s="21"/>
      <c r="G18" s="21"/>
      <c r="H18" s="21"/>
      <c r="I18" s="21"/>
      <c r="J18" s="21"/>
      <c r="K18" s="21"/>
      <c r="L18" s="21"/>
      <c r="M18" s="21"/>
      <c r="N18" s="21"/>
      <c r="O18" s="21"/>
      <c r="P18" s="21"/>
      <c r="Q18" s="21"/>
      <c r="R18" s="21"/>
      <c r="S18" s="21"/>
    </row>
    <row r="19" spans="3:22" ht="18.75" customHeight="1">
      <c r="D19" s="20"/>
      <c r="E19" s="211" t="s">
        <v>28</v>
      </c>
      <c r="F19" s="211"/>
      <c r="G19" s="211"/>
      <c r="H19" s="211"/>
      <c r="I19" s="211"/>
      <c r="J19" s="211"/>
      <c r="K19" s="211"/>
      <c r="L19" s="211"/>
      <c r="M19" s="211"/>
      <c r="N19" s="211"/>
      <c r="O19" s="211"/>
      <c r="P19" s="211"/>
      <c r="Q19" s="211"/>
      <c r="R19" s="211"/>
      <c r="S19" s="211"/>
    </row>
    <row r="20" spans="3:22">
      <c r="D20" s="20"/>
      <c r="E20" s="26"/>
      <c r="F20" s="207" t="s">
        <v>131</v>
      </c>
      <c r="G20" s="207"/>
      <c r="H20" s="207"/>
      <c r="I20" s="207"/>
      <c r="J20" s="207"/>
      <c r="K20" s="207"/>
      <c r="L20" s="207"/>
      <c r="M20" s="207"/>
      <c r="N20" s="207"/>
      <c r="O20" s="207"/>
      <c r="P20" s="207"/>
      <c r="Q20" s="207"/>
      <c r="R20" s="207"/>
      <c r="S20" s="207"/>
      <c r="T20" s="207"/>
    </row>
    <row r="21" spans="3:22" ht="6.75" customHeight="1">
      <c r="D21" s="20"/>
      <c r="E21" s="26"/>
      <c r="F21" s="63"/>
      <c r="G21" s="63"/>
      <c r="H21" s="63"/>
      <c r="I21" s="63"/>
      <c r="J21" s="63"/>
      <c r="K21" s="63"/>
      <c r="L21" s="63"/>
      <c r="M21" s="63"/>
      <c r="N21" s="63"/>
      <c r="O21" s="63"/>
      <c r="P21" s="63"/>
      <c r="Q21" s="63"/>
      <c r="R21" s="63"/>
      <c r="S21" s="63"/>
      <c r="T21" s="63"/>
    </row>
    <row r="22" spans="3:22" ht="12" customHeight="1">
      <c r="D22" s="10" t="s">
        <v>77</v>
      </c>
    </row>
    <row r="23" spans="3:22" ht="42" customHeight="1">
      <c r="D23" s="10"/>
      <c r="E23" s="224" t="s">
        <v>161</v>
      </c>
      <c r="F23" s="225"/>
      <c r="G23" s="225"/>
      <c r="H23" s="225"/>
      <c r="I23" s="225"/>
      <c r="J23" s="225"/>
      <c r="K23" s="225"/>
      <c r="L23" s="225"/>
      <c r="M23" s="225"/>
      <c r="N23" s="225"/>
      <c r="O23" s="225"/>
      <c r="P23" s="225"/>
      <c r="Q23" s="225"/>
      <c r="R23" s="225"/>
      <c r="S23" s="225"/>
      <c r="T23" s="225"/>
    </row>
    <row r="24" spans="3:22" ht="4.5" customHeight="1">
      <c r="D24" s="10"/>
      <c r="E24" s="30"/>
      <c r="F24" s="30"/>
      <c r="G24" s="30"/>
      <c r="H24" s="30"/>
      <c r="I24" s="30"/>
      <c r="J24" s="30"/>
      <c r="K24" s="30"/>
      <c r="L24" s="30"/>
      <c r="M24" s="30"/>
      <c r="N24" s="30"/>
      <c r="O24" s="30"/>
      <c r="P24" s="30"/>
      <c r="Q24" s="30"/>
      <c r="R24" s="30"/>
      <c r="S24" s="30"/>
      <c r="T24" s="37"/>
    </row>
    <row r="25" spans="3:22" ht="82.5" customHeight="1">
      <c r="D25" s="10"/>
      <c r="E25" s="226" t="s">
        <v>143</v>
      </c>
      <c r="F25" s="227"/>
      <c r="G25" s="227"/>
      <c r="H25" s="227"/>
      <c r="I25" s="227"/>
      <c r="J25" s="227"/>
      <c r="K25" s="227"/>
      <c r="L25" s="227"/>
      <c r="M25" s="227"/>
      <c r="N25" s="227"/>
      <c r="O25" s="227"/>
      <c r="P25" s="227"/>
      <c r="Q25" s="227"/>
      <c r="R25" s="227"/>
      <c r="S25" s="227"/>
      <c r="T25" s="227"/>
    </row>
    <row r="26" spans="3:22" ht="6" customHeight="1">
      <c r="D26" s="21"/>
      <c r="E26" s="21"/>
      <c r="F26" s="21"/>
      <c r="G26" s="21"/>
      <c r="H26" s="21"/>
      <c r="I26" s="21"/>
      <c r="J26" s="21"/>
      <c r="K26" s="21"/>
      <c r="L26" s="21"/>
      <c r="M26" s="21"/>
      <c r="N26" s="21"/>
      <c r="O26" s="21"/>
      <c r="P26" s="21"/>
      <c r="Q26" s="21"/>
      <c r="R26" s="21"/>
      <c r="S26" s="21"/>
    </row>
    <row r="27" spans="3:22">
      <c r="C27" s="18" t="s">
        <v>24</v>
      </c>
      <c r="N27"/>
      <c r="O27"/>
      <c r="P27"/>
      <c r="Q27"/>
      <c r="R27"/>
      <c r="S27"/>
      <c r="T27"/>
      <c r="U27"/>
      <c r="V27"/>
    </row>
    <row r="28" spans="3:22" ht="6.75" customHeight="1"/>
    <row r="29" spans="3:22" ht="6.75" customHeight="1">
      <c r="C29" s="153"/>
      <c r="D29" s="155"/>
      <c r="E29" s="155"/>
      <c r="F29" s="155"/>
      <c r="G29" s="155"/>
      <c r="H29" s="155"/>
      <c r="I29" s="155"/>
      <c r="J29" s="152"/>
      <c r="K29" s="21"/>
      <c r="L29" s="21"/>
      <c r="M29" s="21"/>
      <c r="N29" s="21"/>
      <c r="O29" s="21"/>
      <c r="P29" s="21"/>
      <c r="Q29" s="21"/>
      <c r="R29" s="21"/>
      <c r="S29" s="21"/>
    </row>
    <row r="30" spans="3:22">
      <c r="C30" s="154"/>
      <c r="J30" s="151"/>
    </row>
    <row r="31" spans="3:22" ht="8.25" customHeight="1" thickBot="1">
      <c r="C31" s="154"/>
      <c r="J31" s="151"/>
      <c r="N31" s="30"/>
      <c r="O31" s="30"/>
      <c r="P31" s="30"/>
      <c r="Q31" s="30"/>
    </row>
    <row r="32" spans="3:22" ht="18.75" customHeight="1" thickBot="1">
      <c r="C32" s="154"/>
      <c r="I32" s="22"/>
      <c r="J32" s="223" t="s">
        <v>0</v>
      </c>
      <c r="K32" s="223"/>
      <c r="L32" s="223"/>
      <c r="M32" s="223"/>
      <c r="N32" s="24"/>
      <c r="P32" s="181">
        <v>55</v>
      </c>
      <c r="Q32" s="31"/>
      <c r="R32"/>
      <c r="S32"/>
      <c r="T32"/>
    </row>
    <row r="33" spans="3:28" ht="3" customHeight="1">
      <c r="C33" s="154"/>
      <c r="I33" s="22"/>
      <c r="J33" s="27"/>
      <c r="K33" s="27"/>
      <c r="L33" s="27"/>
      <c r="M33" s="27"/>
      <c r="P33" s="28"/>
      <c r="Q33" s="32"/>
      <c r="R33" s="32"/>
      <c r="S33" s="32"/>
      <c r="T33" s="18"/>
    </row>
    <row r="34" spans="3:28" s="25" customFormat="1" ht="36" customHeight="1">
      <c r="C34" s="174"/>
      <c r="I34" s="29"/>
      <c r="J34" s="29"/>
      <c r="K34" s="29"/>
      <c r="L34" s="29"/>
      <c r="M34" s="29"/>
      <c r="P34" s="41" t="s">
        <v>34</v>
      </c>
      <c r="Q34" s="40"/>
      <c r="R34" s="41" t="s">
        <v>38</v>
      </c>
      <c r="S34" s="39"/>
      <c r="T34" s="41" t="s">
        <v>35</v>
      </c>
    </row>
    <row r="35" spans="3:28" s="25" customFormat="1" ht="2.25" customHeight="1" thickBot="1">
      <c r="C35" s="174"/>
      <c r="I35" s="29"/>
      <c r="J35" s="29"/>
      <c r="K35" s="29"/>
      <c r="L35" s="29"/>
      <c r="M35" s="29"/>
      <c r="P35" s="167"/>
      <c r="Q35" s="33"/>
      <c r="R35" s="167"/>
      <c r="T35" s="167"/>
    </row>
    <row r="36" spans="3:28" ht="6.75" customHeight="1" thickTop="1" thickBot="1">
      <c r="C36" s="154"/>
      <c r="I36" s="22"/>
      <c r="J36" s="27"/>
      <c r="K36" s="27"/>
      <c r="L36" s="27"/>
      <c r="M36" s="27"/>
      <c r="P36" s="175"/>
      <c r="Q36" s="31"/>
      <c r="R36" s="176"/>
      <c r="S36" s="32"/>
      <c r="T36" s="177"/>
    </row>
    <row r="37" spans="3:28" ht="15" customHeight="1" thickBot="1">
      <c r="C37" s="154"/>
      <c r="I37" s="22"/>
      <c r="J37" s="217" t="s">
        <v>33</v>
      </c>
      <c r="K37" s="217"/>
      <c r="L37" s="217"/>
      <c r="M37" s="217"/>
      <c r="P37" s="181">
        <v>55</v>
      </c>
      <c r="Q37" s="59"/>
      <c r="R37" s="182">
        <v>36</v>
      </c>
      <c r="S37" s="32" t="s">
        <v>2</v>
      </c>
      <c r="T37" s="183">
        <v>0.115</v>
      </c>
      <c r="U37" s="37"/>
      <c r="V37" s="37"/>
      <c r="W37" s="37"/>
      <c r="X37" s="37"/>
      <c r="Y37" s="37"/>
      <c r="Z37" s="37"/>
      <c r="AA37" s="37"/>
      <c r="AB37" s="37"/>
    </row>
    <row r="38" spans="3:28" ht="18" customHeight="1">
      <c r="C38" s="154"/>
      <c r="I38" s="22"/>
      <c r="J38" s="36"/>
      <c r="K38" s="220" t="s">
        <v>2</v>
      </c>
      <c r="L38" s="220"/>
      <c r="M38" s="220"/>
      <c r="P38" s="28"/>
      <c r="Q38" s="32"/>
      <c r="R38" s="60"/>
      <c r="S38" s="32"/>
      <c r="T38" s="22"/>
    </row>
    <row r="39" spans="3:28" ht="6" customHeight="1" thickBot="1">
      <c r="C39" s="154"/>
      <c r="I39" s="22"/>
      <c r="J39" s="36"/>
      <c r="K39" s="38"/>
      <c r="L39" s="38"/>
      <c r="M39" s="38"/>
      <c r="P39" s="28"/>
      <c r="Q39" s="32"/>
      <c r="R39" s="60"/>
      <c r="S39" s="32"/>
      <c r="T39" s="22"/>
    </row>
    <row r="40" spans="3:28" ht="15" customHeight="1" thickBot="1">
      <c r="C40" s="154"/>
      <c r="I40" s="22"/>
      <c r="J40" s="43" t="s">
        <v>103</v>
      </c>
      <c r="K40" s="42"/>
      <c r="L40" s="42"/>
      <c r="M40" s="42"/>
      <c r="P40" s="181">
        <v>4444</v>
      </c>
      <c r="Q40" s="61"/>
      <c r="R40" s="182">
        <v>30</v>
      </c>
      <c r="S40" s="60"/>
      <c r="T40" s="142">
        <f>+Input!C102</f>
        <v>0.17475000000000002</v>
      </c>
    </row>
    <row r="41" spans="3:28" ht="12" customHeight="1" thickBot="1">
      <c r="C41" s="154"/>
      <c r="I41" s="165"/>
      <c r="J41" s="165"/>
      <c r="K41" s="165"/>
      <c r="L41" s="165"/>
      <c r="M41" s="165"/>
      <c r="N41" s="165"/>
      <c r="O41" s="165"/>
      <c r="P41" s="165"/>
      <c r="Q41" s="166"/>
      <c r="R41" s="166"/>
      <c r="S41" s="166"/>
      <c r="T41" s="166"/>
    </row>
    <row r="42" spans="3:28" ht="12.75" customHeight="1" thickBot="1">
      <c r="C42" s="154"/>
      <c r="T42" s="18"/>
    </row>
    <row r="43" spans="3:28" ht="18" customHeight="1" thickBot="1">
      <c r="C43" s="154"/>
      <c r="J43" s="205" t="s">
        <v>36</v>
      </c>
      <c r="K43" s="206"/>
      <c r="L43" s="206"/>
      <c r="M43" s="206"/>
      <c r="N43" s="206"/>
      <c r="O43" s="206"/>
      <c r="R43" s="178">
        <f>+R47+R49+R45+R51+Input!E110</f>
        <v>25.139078864136415</v>
      </c>
      <c r="T43" s="79" t="str">
        <f>+Input!F136</f>
        <v>(*)</v>
      </c>
    </row>
    <row r="44" spans="3:28" ht="5.25" customHeight="1" thickBot="1">
      <c r="C44" s="154"/>
      <c r="O44" s="23"/>
      <c r="T44" s="18"/>
    </row>
    <row r="45" spans="3:28" ht="14.25" customHeight="1" thickBot="1">
      <c r="C45" s="154"/>
      <c r="I45" s="22"/>
      <c r="J45" s="22"/>
      <c r="K45" s="209" t="s">
        <v>102</v>
      </c>
      <c r="L45" s="209"/>
      <c r="M45" s="209"/>
      <c r="N45" s="209"/>
      <c r="O45" s="22"/>
      <c r="P45" s="104"/>
      <c r="R45" s="172">
        <f>+Input!D77</f>
        <v>30.315021818848553</v>
      </c>
      <c r="T45" s="18"/>
    </row>
    <row r="46" spans="3:28" ht="5.25" customHeight="1" thickBot="1">
      <c r="C46" s="154"/>
      <c r="I46" s="22"/>
      <c r="J46" s="22"/>
      <c r="K46" s="22"/>
      <c r="L46" s="22"/>
      <c r="M46" s="22"/>
      <c r="N46" s="22"/>
      <c r="O46" s="22"/>
      <c r="R46" s="22"/>
      <c r="T46" s="18"/>
    </row>
    <row r="47" spans="3:28" ht="15.75" customHeight="1" thickBot="1">
      <c r="C47" s="154"/>
      <c r="I47" s="25"/>
      <c r="J47" s="25"/>
      <c r="K47" s="209" t="s">
        <v>18</v>
      </c>
      <c r="L47" s="209"/>
      <c r="M47" s="209"/>
      <c r="N47" s="209"/>
      <c r="O47" s="25"/>
      <c r="R47" s="172">
        <f>+Input!D75</f>
        <v>0</v>
      </c>
      <c r="T47" s="18"/>
    </row>
    <row r="48" spans="3:28" ht="4.5" customHeight="1" thickBot="1">
      <c r="C48" s="154"/>
      <c r="I48" s="25"/>
      <c r="J48" s="25"/>
      <c r="K48" s="25"/>
      <c r="L48" s="25"/>
      <c r="M48" s="25"/>
      <c r="N48" s="25"/>
      <c r="O48" s="25"/>
      <c r="R48" s="29"/>
      <c r="T48" s="18"/>
    </row>
    <row r="49" spans="3:49" ht="15" customHeight="1" thickBot="1">
      <c r="C49" s="154"/>
      <c r="I49" s="25"/>
      <c r="J49" s="25"/>
      <c r="K49" s="209" t="s">
        <v>19</v>
      </c>
      <c r="L49" s="209"/>
      <c r="M49" s="209"/>
      <c r="N49" s="209"/>
      <c r="O49" s="25"/>
      <c r="R49" s="172">
        <f>+Input!D78</f>
        <v>0</v>
      </c>
      <c r="T49" s="18"/>
    </row>
    <row r="50" spans="3:49" ht="6" customHeight="1" thickBot="1">
      <c r="C50" s="154"/>
      <c r="I50" s="22"/>
      <c r="J50" s="22"/>
      <c r="K50" s="118"/>
      <c r="L50" s="118"/>
      <c r="M50" s="118"/>
      <c r="N50" s="118"/>
      <c r="O50" s="22"/>
      <c r="P50" s="104"/>
      <c r="R50" s="19"/>
      <c r="T50" s="18"/>
    </row>
    <row r="51" spans="3:49" ht="14.25" customHeight="1" thickBot="1">
      <c r="C51" s="154"/>
      <c r="I51" s="22"/>
      <c r="J51" s="22"/>
      <c r="K51" s="209" t="s">
        <v>162</v>
      </c>
      <c r="L51" s="209"/>
      <c r="M51" s="209"/>
      <c r="N51" s="209"/>
      <c r="O51" s="209"/>
      <c r="P51" s="209"/>
      <c r="R51" s="172">
        <f>+Input!D76</f>
        <v>-5.1759429547121378</v>
      </c>
      <c r="T51" s="18"/>
    </row>
    <row r="52" spans="3:49" ht="5.25" customHeight="1">
      <c r="C52" s="154"/>
      <c r="I52" s="22"/>
      <c r="J52" s="22"/>
      <c r="K52" s="22"/>
      <c r="L52" s="22"/>
      <c r="M52" s="22"/>
      <c r="N52" s="22"/>
      <c r="O52" s="22"/>
      <c r="R52" s="22"/>
      <c r="T52" s="18"/>
    </row>
    <row r="53" spans="3:49" ht="36" customHeight="1">
      <c r="C53" s="154"/>
      <c r="J53" s="151"/>
      <c r="L53" s="210" t="s">
        <v>121</v>
      </c>
      <c r="M53" s="210"/>
      <c r="N53" s="210"/>
      <c r="O53" s="210"/>
      <c r="P53" s="210"/>
      <c r="Q53" s="210"/>
      <c r="R53" s="210"/>
      <c r="S53" s="210"/>
      <c r="T53" s="210"/>
    </row>
    <row r="54" spans="3:49" ht="36" customHeight="1">
      <c r="C54" s="153"/>
      <c r="D54" s="68"/>
      <c r="E54" s="68"/>
      <c r="F54" s="68"/>
      <c r="G54" s="68"/>
      <c r="H54" s="68"/>
      <c r="I54" s="68"/>
      <c r="J54" s="152"/>
      <c r="K54" s="21"/>
      <c r="L54" s="210"/>
      <c r="M54" s="210"/>
      <c r="N54" s="210"/>
      <c r="O54" s="210"/>
      <c r="P54" s="210"/>
      <c r="Q54" s="210"/>
      <c r="R54" s="210"/>
      <c r="S54" s="210"/>
      <c r="T54" s="210"/>
    </row>
    <row r="55" spans="3:49" ht="17.25" customHeight="1">
      <c r="C55" s="153"/>
      <c r="D55" s="68"/>
      <c r="E55" s="68"/>
      <c r="F55" s="68"/>
      <c r="G55" s="68"/>
      <c r="H55" s="68"/>
      <c r="I55" s="68"/>
      <c r="J55" s="152"/>
      <c r="K55" s="21"/>
      <c r="L55" s="230" t="str">
        <f>+Input!B136</f>
        <v>(*) Il costo complessivo riportato qui sopra è stato ridotto in ragione degli abbattimenti che derivano dall'applicazione della Legge sull’Usura (L. 108/96).</v>
      </c>
      <c r="M55" s="230"/>
      <c r="N55" s="230"/>
      <c r="O55" s="230"/>
      <c r="P55" s="230"/>
      <c r="Q55" s="230"/>
      <c r="R55" s="230"/>
      <c r="S55" s="230"/>
      <c r="T55" s="230"/>
    </row>
    <row r="56" spans="3:49" ht="17.25" customHeight="1">
      <c r="C56" s="152"/>
      <c r="D56" s="152"/>
      <c r="E56" s="152"/>
      <c r="F56" s="152"/>
      <c r="G56" s="152"/>
      <c r="H56" s="152"/>
      <c r="I56" s="152"/>
      <c r="J56" s="152"/>
      <c r="K56" s="21"/>
      <c r="L56" s="230"/>
      <c r="M56" s="230"/>
      <c r="N56" s="230"/>
      <c r="O56" s="230"/>
      <c r="P56" s="230"/>
      <c r="Q56" s="230"/>
      <c r="R56" s="230"/>
      <c r="S56" s="230"/>
      <c r="T56" s="230"/>
    </row>
    <row r="57" spans="3:49">
      <c r="T57" s="18"/>
    </row>
    <row r="58" spans="3:49" ht="3" customHeight="1">
      <c r="C58" s="154"/>
      <c r="D58" s="154"/>
      <c r="E58" s="154"/>
      <c r="F58" s="154"/>
      <c r="G58" s="154"/>
      <c r="H58" s="154"/>
      <c r="I58" s="154"/>
      <c r="J58" s="154"/>
      <c r="K58" s="154"/>
      <c r="L58" s="154"/>
      <c r="M58" s="154"/>
      <c r="N58" s="154"/>
      <c r="O58" s="154"/>
      <c r="P58" s="154"/>
      <c r="Q58" s="154"/>
      <c r="R58" s="154"/>
      <c r="S58" s="154"/>
      <c r="T58" s="154"/>
    </row>
    <row r="59" spans="3:49" ht="3" customHeight="1">
      <c r="C59" s="156"/>
      <c r="D59" s="156"/>
      <c r="E59" s="156"/>
      <c r="F59" s="156"/>
      <c r="G59" s="156"/>
      <c r="H59" s="156"/>
      <c r="I59" s="156"/>
      <c r="J59" s="156"/>
      <c r="K59" s="156"/>
      <c r="L59" s="156"/>
      <c r="M59" s="156"/>
      <c r="N59" s="156"/>
      <c r="O59" s="156"/>
      <c r="P59" s="156"/>
      <c r="Q59" s="156"/>
      <c r="R59" s="156"/>
      <c r="S59" s="156"/>
      <c r="T59" s="156"/>
    </row>
    <row r="60" spans="3:49" ht="8.25" customHeight="1">
      <c r="C60" s="24"/>
      <c r="D60" s="24"/>
      <c r="E60" s="24"/>
      <c r="F60" s="24"/>
      <c r="G60" s="24"/>
      <c r="H60" s="24"/>
      <c r="I60" s="24"/>
      <c r="J60" s="24"/>
      <c r="K60" s="24"/>
      <c r="L60" s="24"/>
      <c r="M60" s="24"/>
      <c r="N60" s="24"/>
      <c r="O60" s="24"/>
      <c r="P60" s="24"/>
      <c r="Q60" s="24"/>
      <c r="S60" s="19"/>
      <c r="AW60" s="18"/>
    </row>
    <row r="61" spans="3:49" ht="18" customHeight="1" thickBot="1">
      <c r="C61" s="169" t="s">
        <v>29</v>
      </c>
      <c r="D61" s="169"/>
      <c r="E61" s="169"/>
      <c r="F61" s="169"/>
      <c r="G61" s="169"/>
      <c r="H61" s="169"/>
      <c r="I61" s="169"/>
      <c r="J61" s="169"/>
      <c r="K61" s="169"/>
      <c r="L61" s="169"/>
      <c r="M61" s="169"/>
      <c r="N61" s="169"/>
      <c r="O61" s="215" t="str">
        <f>+Input!D57</f>
        <v>1° Gennaio 2019</v>
      </c>
      <c r="P61" s="216"/>
      <c r="Q61" s="169"/>
      <c r="R61" s="169"/>
      <c r="S61" s="169"/>
      <c r="T61" s="169"/>
      <c r="AW61" s="18"/>
    </row>
    <row r="62" spans="3:49" ht="5.25" customHeight="1">
      <c r="C62" s="229"/>
      <c r="D62" s="229"/>
      <c r="E62" s="229"/>
      <c r="F62" s="229"/>
      <c r="G62" s="229"/>
      <c r="H62" s="229"/>
      <c r="I62" s="229"/>
      <c r="J62" s="229"/>
      <c r="K62" s="229"/>
      <c r="L62" s="229"/>
      <c r="M62" s="229"/>
      <c r="N62" s="229"/>
      <c r="O62" s="229"/>
      <c r="P62" s="229"/>
      <c r="Q62" s="229"/>
      <c r="T62" s="18"/>
      <c r="AW62" s="18"/>
    </row>
    <row r="63" spans="3:49" ht="15" customHeight="1">
      <c r="C63" s="33"/>
      <c r="D63" s="33"/>
      <c r="E63" s="112" t="s">
        <v>116</v>
      </c>
      <c r="F63" s="65"/>
      <c r="G63" s="75"/>
      <c r="H63" s="65"/>
      <c r="I63" s="65"/>
      <c r="J63" s="65"/>
      <c r="K63" s="65"/>
      <c r="L63" s="66"/>
      <c r="M63" s="141">
        <f>Input!$C$86</f>
        <v>0.115</v>
      </c>
      <c r="N63"/>
      <c r="O63"/>
      <c r="P63"/>
      <c r="Q63" s="33"/>
      <c r="R63" s="33"/>
      <c r="S63" s="33"/>
      <c r="T63" s="33"/>
      <c r="AW63" s="18"/>
    </row>
    <row r="64" spans="3:49" ht="15" customHeight="1">
      <c r="C64" s="33"/>
      <c r="D64" s="33"/>
      <c r="E64" s="221" t="s">
        <v>137</v>
      </c>
      <c r="F64" s="222"/>
      <c r="G64" s="222"/>
      <c r="H64" s="222"/>
      <c r="I64" s="222"/>
      <c r="J64" s="222"/>
      <c r="K64" s="222"/>
      <c r="L64" s="222"/>
      <c r="N64"/>
      <c r="O64"/>
      <c r="P64"/>
      <c r="Q64" s="33"/>
      <c r="R64" s="33"/>
      <c r="S64" s="33"/>
      <c r="T64" s="33"/>
      <c r="AW64" s="18"/>
    </row>
    <row r="65" spans="3:49" ht="15" customHeight="1">
      <c r="C65" s="33"/>
      <c r="D65" s="33"/>
      <c r="E65" s="228" t="s">
        <v>156</v>
      </c>
      <c r="F65" s="221"/>
      <c r="G65" s="221"/>
      <c r="H65" s="221"/>
      <c r="I65" s="221"/>
      <c r="J65" s="221"/>
      <c r="K65" s="221"/>
      <c r="L65" s="221"/>
      <c r="M65" s="141">
        <f>+Input!C100</f>
        <v>0.17475000000000002</v>
      </c>
      <c r="N65"/>
      <c r="O65"/>
      <c r="P65"/>
      <c r="Q65" s="33"/>
      <c r="R65" s="33"/>
      <c r="S65" s="33"/>
      <c r="T65" s="33"/>
      <c r="AW65" s="18"/>
    </row>
    <row r="66" spans="3:49" ht="15.75" customHeight="1">
      <c r="C66" s="33"/>
      <c r="D66" s="33"/>
      <c r="E66" s="228" t="s">
        <v>157</v>
      </c>
      <c r="F66" s="221"/>
      <c r="G66" s="221"/>
      <c r="H66" s="221"/>
      <c r="I66" s="221"/>
      <c r="J66" s="221"/>
      <c r="K66" s="221"/>
      <c r="L66" s="221"/>
      <c r="M66" s="141">
        <f>+Input!C101</f>
        <v>0.145875</v>
      </c>
      <c r="N66"/>
      <c r="O66"/>
      <c r="P66"/>
      <c r="Q66" s="33"/>
      <c r="R66" s="33"/>
      <c r="S66" s="33"/>
      <c r="T66" s="33"/>
      <c r="AW66" s="18"/>
    </row>
    <row r="67" spans="3:49" ht="28.5" customHeight="1">
      <c r="C67" s="33"/>
      <c r="D67" s="33"/>
      <c r="E67" s="191" t="s">
        <v>94</v>
      </c>
      <c r="F67" s="191"/>
      <c r="G67" s="191"/>
      <c r="H67" s="191"/>
      <c r="I67" s="191"/>
      <c r="J67" s="191"/>
      <c r="K67" s="191"/>
      <c r="L67" s="191"/>
      <c r="M67" s="125">
        <f>+Input!C106</f>
        <v>33</v>
      </c>
      <c r="N67" s="197" t="s">
        <v>105</v>
      </c>
      <c r="O67" s="197"/>
      <c r="P67" s="197"/>
      <c r="Q67" s="197"/>
      <c r="R67" s="197"/>
      <c r="S67" s="197"/>
      <c r="T67" s="197"/>
      <c r="AW67" s="18"/>
    </row>
    <row r="68" spans="3:49">
      <c r="C68" s="33"/>
      <c r="D68" s="33"/>
      <c r="E68" s="197" t="s">
        <v>163</v>
      </c>
      <c r="F68" s="197"/>
      <c r="G68" s="197"/>
      <c r="H68" s="197"/>
      <c r="I68" s="197"/>
      <c r="J68" s="197"/>
      <c r="K68" s="197"/>
      <c r="L68" s="197"/>
      <c r="M68" s="121">
        <f>+Input!C93</f>
        <v>5.0000000000000001E-3</v>
      </c>
      <c r="N68" s="197" t="s">
        <v>115</v>
      </c>
      <c r="O68" s="197"/>
      <c r="P68" s="197"/>
      <c r="Q68" s="197"/>
      <c r="R68" s="197"/>
      <c r="S68" s="197"/>
      <c r="T68" s="197"/>
      <c r="AW68" s="18"/>
    </row>
    <row r="69" spans="3:49" ht="7.5" customHeight="1">
      <c r="C69" s="33"/>
      <c r="D69" s="33"/>
      <c r="E69" s="82"/>
      <c r="F69" s="82"/>
      <c r="G69" s="82"/>
      <c r="H69" s="82"/>
      <c r="I69" s="82"/>
      <c r="J69" s="82"/>
      <c r="K69" s="82"/>
      <c r="L69" s="82"/>
      <c r="M69" s="67"/>
      <c r="N69" s="82"/>
      <c r="O69" s="82"/>
      <c r="P69" s="82"/>
      <c r="Q69" s="82"/>
      <c r="R69" s="82"/>
      <c r="S69" s="82"/>
      <c r="T69" s="82"/>
      <c r="AW69" s="18"/>
    </row>
    <row r="70" spans="3:49" ht="25.5" customHeight="1">
      <c r="C70" s="33"/>
      <c r="D70" s="33"/>
      <c r="E70" s="218" t="s">
        <v>151</v>
      </c>
      <c r="F70" s="219"/>
      <c r="G70" s="219"/>
      <c r="H70" s="219"/>
      <c r="I70" s="219"/>
      <c r="J70" s="219"/>
      <c r="K70" s="219"/>
      <c r="L70" s="219"/>
      <c r="M70" s="219"/>
      <c r="N70" s="219"/>
      <c r="O70" s="219"/>
      <c r="P70" s="219"/>
      <c r="Q70" s="219"/>
      <c r="R70" s="219"/>
      <c r="S70" s="219"/>
      <c r="T70" s="219"/>
      <c r="AW70" s="18"/>
    </row>
    <row r="71" spans="3:49" ht="47.25" customHeight="1">
      <c r="C71" s="33"/>
      <c r="D71" s="33"/>
      <c r="E71" s="233" t="s">
        <v>152</v>
      </c>
      <c r="F71" s="233"/>
      <c r="G71" s="233"/>
      <c r="H71" s="233"/>
      <c r="I71" s="233"/>
      <c r="J71" s="233"/>
      <c r="K71" s="233"/>
      <c r="L71" s="233"/>
      <c r="M71" s="233"/>
      <c r="N71" s="233"/>
      <c r="O71" s="233"/>
      <c r="P71" s="233"/>
      <c r="Q71" s="233"/>
      <c r="R71" s="233"/>
      <c r="S71" s="233"/>
      <c r="T71" s="233"/>
      <c r="AW71" s="18"/>
    </row>
    <row r="72" spans="3:49" ht="27" customHeight="1">
      <c r="C72" s="33"/>
      <c r="D72" s="33"/>
      <c r="E72" s="212"/>
      <c r="F72" s="213"/>
      <c r="G72" s="213"/>
      <c r="H72" s="213"/>
      <c r="I72" s="213"/>
      <c r="J72" s="213"/>
      <c r="K72" s="213"/>
      <c r="L72" s="213"/>
      <c r="M72" s="213"/>
      <c r="N72" s="213"/>
      <c r="O72" s="213"/>
      <c r="P72" s="213"/>
      <c r="Q72" s="213"/>
      <c r="R72" s="213"/>
      <c r="S72" s="213"/>
      <c r="T72" s="213"/>
      <c r="U72" s="76"/>
      <c r="V72" s="76"/>
      <c r="AW72" s="18"/>
    </row>
    <row r="73" spans="3:49" ht="5.25" customHeight="1">
      <c r="T73" s="18"/>
      <c r="AW73" s="18"/>
    </row>
    <row r="74" spans="3:49" ht="14.25" customHeight="1">
      <c r="C74" s="9"/>
      <c r="D74" s="64"/>
      <c r="E74" s="64"/>
      <c r="F74" s="64"/>
      <c r="G74" s="64"/>
      <c r="H74" s="64"/>
      <c r="I74" s="64"/>
      <c r="J74" s="64"/>
      <c r="K74" s="64"/>
      <c r="L74" s="64"/>
      <c r="M74" s="64"/>
      <c r="N74" s="64"/>
      <c r="O74" s="64"/>
      <c r="P74" s="64"/>
      <c r="Q74" s="64"/>
      <c r="R74" s="64"/>
      <c r="S74" s="64"/>
      <c r="T74" s="64"/>
    </row>
    <row r="75" spans="3:49" ht="12.75" customHeight="1">
      <c r="E75" s="231"/>
      <c r="F75" s="232"/>
      <c r="G75" s="232"/>
      <c r="H75" s="232"/>
      <c r="I75" s="232"/>
      <c r="J75" s="232"/>
      <c r="K75" s="232"/>
      <c r="L75" s="232"/>
      <c r="T75" s="132" t="s">
        <v>39</v>
      </c>
    </row>
    <row r="76" spans="3:49" ht="12.75" customHeight="1">
      <c r="E76" s="228"/>
      <c r="F76" s="221"/>
      <c r="G76" s="221"/>
      <c r="H76" s="221"/>
      <c r="I76" s="221"/>
      <c r="J76" s="221"/>
      <c r="K76" s="221"/>
      <c r="L76" s="221"/>
      <c r="M76"/>
      <c r="N76"/>
      <c r="O76"/>
      <c r="P76"/>
      <c r="Q76"/>
      <c r="R76"/>
      <c r="S76"/>
      <c r="T76"/>
    </row>
    <row r="77" spans="3:49">
      <c r="E77" s="231"/>
      <c r="F77" s="232"/>
      <c r="G77" s="232"/>
      <c r="H77" s="232"/>
      <c r="I77" s="232"/>
      <c r="J77" s="232"/>
      <c r="K77" s="232"/>
      <c r="L77" s="232"/>
      <c r="M77"/>
      <c r="N77"/>
      <c r="O77"/>
      <c r="P77"/>
      <c r="Q77"/>
      <c r="R77"/>
      <c r="S77"/>
      <c r="T77"/>
    </row>
    <row r="78" spans="3:49">
      <c r="E78" s="231"/>
      <c r="F78" s="232"/>
      <c r="G78" s="232"/>
      <c r="H78" s="232"/>
      <c r="I78" s="232"/>
      <c r="J78" s="232"/>
      <c r="K78" s="232"/>
      <c r="L78" s="232"/>
    </row>
    <row r="79" spans="3:49">
      <c r="E79" s="104"/>
    </row>
  </sheetData>
  <sheetProtection password="C314" sheet="1" objects="1" scenarios="1" selectLockedCells="1"/>
  <mergeCells count="35">
    <mergeCell ref="E75:L75"/>
    <mergeCell ref="E76:L76"/>
    <mergeCell ref="E77:L77"/>
    <mergeCell ref="E78:L78"/>
    <mergeCell ref="E68:L68"/>
    <mergeCell ref="E71:T71"/>
    <mergeCell ref="E65:L65"/>
    <mergeCell ref="E66:L66"/>
    <mergeCell ref="L53:T54"/>
    <mergeCell ref="C62:Q62"/>
    <mergeCell ref="L55:T56"/>
    <mergeCell ref="D2:M2"/>
    <mergeCell ref="E16:R16"/>
    <mergeCell ref="E19:S19"/>
    <mergeCell ref="J32:M32"/>
    <mergeCell ref="D9:T10"/>
    <mergeCell ref="C12:T12"/>
    <mergeCell ref="E23:T23"/>
    <mergeCell ref="E25:T25"/>
    <mergeCell ref="K51:P51"/>
    <mergeCell ref="E72:T72"/>
    <mergeCell ref="F17:S17"/>
    <mergeCell ref="O61:P61"/>
    <mergeCell ref="J37:M37"/>
    <mergeCell ref="K49:N49"/>
    <mergeCell ref="J43:O43"/>
    <mergeCell ref="E70:T70"/>
    <mergeCell ref="F20:T20"/>
    <mergeCell ref="K47:N47"/>
    <mergeCell ref="K38:M38"/>
    <mergeCell ref="E67:L67"/>
    <mergeCell ref="N67:T67"/>
    <mergeCell ref="E64:L64"/>
    <mergeCell ref="K45:N45"/>
    <mergeCell ref="N68:T68"/>
  </mergeCells>
  <phoneticPr fontId="2" type="noConversion"/>
  <dataValidations count="6">
    <dataValidation type="decimal" allowBlank="1" showErrorMessage="1" error="Attenzione: questa è l'ipotesi di utilizzo entro i limiti del fido (l'importo dell'apertura di credito deve essere pari o superiore al dato - necessariamente positivo - che hai appena inserito)." sqref="P37" xr:uid="{00000000-0002-0000-0200-000000000000}">
      <formula1>0</formula1>
      <formula2>P32</formula2>
    </dataValidation>
    <dataValidation type="decimal" operator="greaterThan" allowBlank="1" showInputMessage="1" showErrorMessage="1" error="Attenzione: questa è l'ipotesi di utilizzo superiore al fido (l'importo che hai appena inserito deve essere superiore a quello dell'apertura di credito che hai ipotizzato)." sqref="P40" xr:uid="{00000000-0002-0000-0200-000001000000}">
      <formula1>P32</formula1>
    </dataValidation>
    <dataValidation type="whole" showErrorMessage="1" error="Attenzione: il numero totale di giorni non può superare quelli del trimestre (massimo 92)." sqref="R37" xr:uid="{00000000-0002-0000-0200-000002000000}">
      <formula1>0</formula1>
      <formula2>92-R40</formula2>
    </dataValidation>
    <dataValidation type="whole" showErrorMessage="1" error="Attenzione: Il numero di giorni complessivo di utilizzo trimestrale delle somme entro ed oltre il fido deve essere compreso tra 0 e 92." sqref="R40" xr:uid="{00000000-0002-0000-0200-000003000000}">
      <formula1>0</formula1>
      <formula2>92-R37</formula2>
    </dataValidation>
    <dataValidation type="decimal" operator="greaterThanOrEqual" allowBlank="1" showInputMessage="1" showErrorMessage="1" error="Attenzione: sono ammessi solo valori positivi" sqref="P32" xr:uid="{00000000-0002-0000-0200-000004000000}">
      <formula1>0</formula1>
    </dataValidation>
    <dataValidation type="decimal" allowBlank="1" showInputMessage="1" showErrorMessage="1" error="ATTENZIONE: il valore massimo è pari al tasso debitore nominale annuo." sqref="T37" xr:uid="{00000000-0002-0000-0200-000005000000}">
      <formula1>0</formula1>
      <formula2>M63</formula2>
    </dataValidation>
  </dataValidations>
  <pageMargins left="0.39370078740157483" right="0.39370078740157483" top="0.39370078740157483" bottom="0.39370078740157483" header="0.39370078740157483" footer="0.39370078740157483"/>
  <pageSetup paperSize="9" scale="5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
  <dimension ref="A1:V173"/>
  <sheetViews>
    <sheetView view="pageBreakPreview" zoomScaleNormal="100" zoomScaleSheetLayoutView="100" workbookViewId="0">
      <selection activeCell="E47" sqref="E47"/>
    </sheetView>
  </sheetViews>
  <sheetFormatPr defaultRowHeight="12.75"/>
  <cols>
    <col min="1" max="1" width="4.140625" customWidth="1"/>
    <col min="2" max="2" width="50.42578125" customWidth="1"/>
    <col min="3" max="3" width="25.28515625" bestFit="1" customWidth="1"/>
    <col min="4" max="4" width="15.42578125" customWidth="1"/>
    <col min="5" max="5" width="14.140625" customWidth="1"/>
    <col min="6" max="6" width="10" customWidth="1"/>
    <col min="7" max="7" width="9.140625" hidden="1" customWidth="1"/>
    <col min="8" max="8" width="10.28515625" hidden="1" customWidth="1"/>
    <col min="9" max="9" width="9.140625" hidden="1" customWidth="1"/>
    <col min="10" max="10" width="10.28515625" hidden="1" customWidth="1"/>
    <col min="11" max="11" width="8.7109375" hidden="1" customWidth="1"/>
    <col min="12" max="12" width="4.85546875" hidden="1" customWidth="1"/>
    <col min="13" max="13" width="14.7109375" hidden="1" customWidth="1"/>
    <col min="14" max="14" width="8" hidden="1" customWidth="1"/>
    <col min="15" max="15" width="9.140625" hidden="1" customWidth="1"/>
    <col min="16" max="16" width="11.5703125" hidden="1" customWidth="1"/>
  </cols>
  <sheetData>
    <row r="1" spans="1:22">
      <c r="A1" s="10" t="s">
        <v>43</v>
      </c>
      <c r="D1" s="147" t="s">
        <v>158</v>
      </c>
    </row>
    <row r="3" spans="1:22">
      <c r="A3" s="1" t="s">
        <v>3</v>
      </c>
      <c r="B3" s="17" t="s">
        <v>9</v>
      </c>
      <c r="C3" s="14"/>
      <c r="D3" s="14"/>
    </row>
    <row r="4" spans="1:22">
      <c r="A4" s="1"/>
      <c r="B4" s="17"/>
      <c r="C4" s="14"/>
      <c r="D4" s="14"/>
    </row>
    <row r="5" spans="1:22">
      <c r="A5" s="1"/>
      <c r="B5" s="17" t="s">
        <v>44</v>
      </c>
      <c r="C5" s="14"/>
      <c r="D5" s="14"/>
    </row>
    <row r="6" spans="1:22" ht="13.5" customHeight="1" thickBot="1">
      <c r="A6" s="1"/>
    </row>
    <row r="7" spans="1:22" ht="13.5" thickBot="1">
      <c r="B7" t="s">
        <v>40</v>
      </c>
      <c r="D7" s="80">
        <f>'Cliente non affidato'!O24</f>
        <v>0</v>
      </c>
    </row>
    <row r="8" spans="1:22" ht="13.5" thickBot="1"/>
    <row r="9" spans="1:22" ht="13.5" thickBot="1">
      <c r="B9" t="s">
        <v>41</v>
      </c>
      <c r="D9" s="81">
        <f>'Cliente non affidato'!O26</f>
        <v>0</v>
      </c>
      <c r="E9" t="s">
        <v>2</v>
      </c>
    </row>
    <row r="10" spans="1:22">
      <c r="E10" s="4"/>
    </row>
    <row r="11" spans="1:22" ht="13.5" thickBot="1">
      <c r="R11" s="244" t="s">
        <v>120</v>
      </c>
      <c r="S11" s="245"/>
      <c r="T11" s="245"/>
      <c r="U11" s="245"/>
      <c r="V11" s="245"/>
    </row>
    <row r="12" spans="1:22" ht="13.5" thickBot="1">
      <c r="B12" t="s">
        <v>42</v>
      </c>
      <c r="D12" s="5">
        <f>+E49</f>
        <v>0</v>
      </c>
      <c r="R12" s="245"/>
      <c r="S12" s="245"/>
      <c r="T12" s="245"/>
      <c r="U12" s="245"/>
      <c r="V12" s="245"/>
    </row>
    <row r="13" spans="1:22" ht="13.5" thickBot="1">
      <c r="R13" s="245"/>
      <c r="S13" s="245"/>
      <c r="T13" s="245"/>
      <c r="U13" s="245"/>
      <c r="V13" s="245"/>
    </row>
    <row r="14" spans="1:22">
      <c r="C14" t="s">
        <v>8</v>
      </c>
      <c r="D14" s="6">
        <f>+E48</f>
        <v>0</v>
      </c>
      <c r="R14" s="245"/>
      <c r="S14" s="245"/>
      <c r="T14" s="245"/>
      <c r="U14" s="245"/>
      <c r="V14" s="245"/>
    </row>
    <row r="15" spans="1:22" s="108" customFormat="1" ht="13.5" thickBot="1">
      <c r="A15"/>
      <c r="B15"/>
      <c r="C15" s="104" t="s">
        <v>92</v>
      </c>
      <c r="D15" s="7">
        <f>+E47</f>
        <v>0</v>
      </c>
      <c r="E15"/>
      <c r="F15"/>
      <c r="R15" s="109"/>
      <c r="S15" s="109"/>
      <c r="T15" s="109"/>
      <c r="U15" s="109"/>
      <c r="V15" s="109"/>
    </row>
    <row r="16" spans="1:22" s="108" customFormat="1">
      <c r="A16"/>
      <c r="B16"/>
      <c r="C16"/>
      <c r="D16"/>
      <c r="E16"/>
      <c r="F16"/>
      <c r="R16" s="109"/>
      <c r="S16" s="109"/>
      <c r="T16" s="109"/>
      <c r="U16" s="109"/>
      <c r="V16" s="109"/>
    </row>
    <row r="18" spans="2:5">
      <c r="B18" s="10" t="s">
        <v>45</v>
      </c>
    </row>
    <row r="19" spans="2:5">
      <c r="B19" s="2"/>
      <c r="C19" s="2"/>
    </row>
    <row r="20" spans="2:5">
      <c r="B20" s="10" t="s">
        <v>46</v>
      </c>
    </row>
    <row r="21" spans="2:5">
      <c r="B21" s="13">
        <v>0</v>
      </c>
      <c r="C21" s="104" t="s">
        <v>93</v>
      </c>
    </row>
    <row r="22" spans="2:5">
      <c r="B22" s="104" t="s">
        <v>133</v>
      </c>
      <c r="C22" s="133">
        <f>+D34-B21</f>
        <v>0.23612500000000003</v>
      </c>
      <c r="D22" s="132"/>
      <c r="E22" s="143"/>
    </row>
    <row r="23" spans="2:5">
      <c r="B23" s="104" t="s">
        <v>134</v>
      </c>
      <c r="C23" s="133">
        <f>+D35-B21</f>
        <v>0.23449999999999999</v>
      </c>
      <c r="D23" s="132"/>
      <c r="E23" s="143"/>
    </row>
    <row r="24" spans="2:5">
      <c r="C24" s="104"/>
    </row>
    <row r="25" spans="2:5">
      <c r="B25" s="127">
        <f>IF(D7&lt;=1500,D34-B21,D35-B21)</f>
        <v>0.23612500000000003</v>
      </c>
      <c r="C25" t="s">
        <v>5</v>
      </c>
      <c r="D25" s="2" t="s">
        <v>6</v>
      </c>
      <c r="E25" s="149">
        <v>365</v>
      </c>
    </row>
    <row r="26" spans="2:5">
      <c r="B26" s="16"/>
    </row>
    <row r="27" spans="2:5">
      <c r="B27" t="s">
        <v>7</v>
      </c>
      <c r="D27" s="46">
        <f>+D7*B25*D9/E25</f>
        <v>0</v>
      </c>
    </row>
    <row r="28" spans="2:5">
      <c r="D28" s="46"/>
    </row>
    <row r="29" spans="2:5">
      <c r="B29" s="10" t="s">
        <v>94</v>
      </c>
      <c r="D29" s="46"/>
    </row>
    <row r="30" spans="2:5">
      <c r="B30" s="110">
        <v>33</v>
      </c>
      <c r="C30" s="104" t="s">
        <v>95</v>
      </c>
      <c r="D30" s="128" t="s">
        <v>129</v>
      </c>
      <c r="E30" s="110">
        <v>500</v>
      </c>
    </row>
    <row r="31" spans="2:5">
      <c r="B31" s="105" t="s">
        <v>96</v>
      </c>
      <c r="C31" s="130">
        <f>IF(AND(D7&lt;=E30,D9&lt;=7),0,B30)</f>
        <v>0</v>
      </c>
      <c r="D31" s="46"/>
    </row>
    <row r="32" spans="2:5">
      <c r="D32" s="3"/>
    </row>
    <row r="33" spans="2:5" ht="13.5" thickBot="1">
      <c r="B33" s="10" t="s">
        <v>50</v>
      </c>
      <c r="C33" s="2" t="s">
        <v>53</v>
      </c>
      <c r="D33" s="3" t="s">
        <v>54</v>
      </c>
    </row>
    <row r="34" spans="2:5">
      <c r="B34" t="s">
        <v>51</v>
      </c>
      <c r="C34" s="145">
        <v>0.15690000000000001</v>
      </c>
      <c r="D34" s="77">
        <f>IF(+C34*1.25+4%&lt;=C34+8%,C34*1.25+4%,C34+8%)</f>
        <v>0.23612500000000003</v>
      </c>
    </row>
    <row r="35" spans="2:5" ht="13.5" thickBot="1">
      <c r="B35" t="s">
        <v>52</v>
      </c>
      <c r="C35" s="146">
        <v>0.15559999999999999</v>
      </c>
      <c r="D35" s="77">
        <f>IF(+C35*1.25+4%&lt;=C35+8%,C35*1.25+4%,C35+8%)</f>
        <v>0.23449999999999999</v>
      </c>
    </row>
    <row r="36" spans="2:5">
      <c r="C36" s="2" t="s">
        <v>99</v>
      </c>
      <c r="D36" s="77">
        <f>IF(D7&lt;=1500,D34,D35)</f>
        <v>0.23612500000000003</v>
      </c>
    </row>
    <row r="37" spans="2:5">
      <c r="C37" s="83"/>
    </row>
    <row r="38" spans="2:5">
      <c r="B38" s="1" t="s">
        <v>64</v>
      </c>
      <c r="C38" s="45">
        <f>IF(AND(D7&gt;0,D9&gt;0),+((D27*E25)/(D7*D9)+(C31*4)/D7),0)</f>
        <v>0</v>
      </c>
      <c r="D38" s="3"/>
    </row>
    <row r="39" spans="2:5">
      <c r="B39" s="1" t="s">
        <v>63</v>
      </c>
      <c r="C39" s="56">
        <f>+C38-IF(D7&lt;=1500,D34,D35)</f>
        <v>-0.23612500000000003</v>
      </c>
      <c r="D39" s="3"/>
    </row>
    <row r="40" spans="2:5" ht="12.75" customHeight="1">
      <c r="C40" t="s">
        <v>62</v>
      </c>
      <c r="D40" t="s">
        <v>61</v>
      </c>
    </row>
    <row r="41" spans="2:5" ht="12.75" customHeight="1">
      <c r="B41" s="111" t="s">
        <v>97</v>
      </c>
      <c r="C41" s="131">
        <f>IF(C39&gt;0,IF(D7*B21*D9/E25&lt;=C31,D7*B21*D9/E25,C31),C31)</f>
        <v>0</v>
      </c>
    </row>
    <row r="42" spans="2:5">
      <c r="B42" s="84" t="s">
        <v>79</v>
      </c>
      <c r="C42" s="47">
        <f>+D27</f>
        <v>0</v>
      </c>
    </row>
    <row r="43" spans="2:5">
      <c r="B43" s="49" t="s">
        <v>55</v>
      </c>
      <c r="C43" s="47">
        <f>+C41+C42</f>
        <v>0</v>
      </c>
      <c r="D43" s="113">
        <f>IF(AND(D7&gt;0,D9&gt;0),((C42+C41)*E25/D9)/D7,0)</f>
        <v>0</v>
      </c>
    </row>
    <row r="44" spans="2:5">
      <c r="B44" s="50"/>
      <c r="C44" s="51"/>
      <c r="D44" s="52"/>
      <c r="E44" s="53"/>
    </row>
    <row r="45" spans="2:5">
      <c r="B45" s="54" t="s">
        <v>57</v>
      </c>
      <c r="C45" s="51"/>
      <c r="D45" s="52"/>
      <c r="E45" s="53"/>
    </row>
    <row r="46" spans="2:5">
      <c r="B46" s="54"/>
      <c r="C46" s="51" t="s">
        <v>58</v>
      </c>
      <c r="D46" s="52" t="s">
        <v>59</v>
      </c>
      <c r="E46" s="53" t="s">
        <v>60</v>
      </c>
    </row>
    <row r="47" spans="2:5">
      <c r="B47" s="112" t="s">
        <v>98</v>
      </c>
      <c r="C47" s="46">
        <f>+C31</f>
        <v>0</v>
      </c>
      <c r="D47" s="44">
        <f>+C41</f>
        <v>0</v>
      </c>
      <c r="E47" s="44">
        <f>IF(C$49&gt;D$49,D47,C47)</f>
        <v>0</v>
      </c>
    </row>
    <row r="48" spans="2:5">
      <c r="B48" t="s">
        <v>56</v>
      </c>
      <c r="C48" s="46">
        <f>+D7*B25*D9/E25</f>
        <v>0</v>
      </c>
      <c r="D48" s="44">
        <f>+C42</f>
        <v>0</v>
      </c>
      <c r="E48" s="44">
        <f>IF(C$49&gt;D$49,D48,C48)</f>
        <v>0</v>
      </c>
    </row>
    <row r="49" spans="1:18">
      <c r="A49" s="9"/>
      <c r="B49" s="9" t="s">
        <v>13</v>
      </c>
      <c r="C49" s="51">
        <f>+C47+C48</f>
        <v>0</v>
      </c>
      <c r="D49" s="51">
        <f t="shared" ref="D49:E49" si="0">+D47+D48</f>
        <v>0</v>
      </c>
      <c r="E49" s="51">
        <f t="shared" si="0"/>
        <v>0</v>
      </c>
      <c r="F49" s="9"/>
    </row>
    <row r="50" spans="1:18">
      <c r="A50" s="9"/>
      <c r="B50" s="9"/>
      <c r="C50" s="51"/>
      <c r="D50" s="51"/>
      <c r="E50" s="51"/>
      <c r="F50" s="9"/>
    </row>
    <row r="51" spans="1:18">
      <c r="A51" s="9"/>
      <c r="B51" s="57" t="s">
        <v>65</v>
      </c>
      <c r="C51" s="51"/>
      <c r="D51" s="51"/>
      <c r="E51" s="51"/>
      <c r="F51" s="9"/>
    </row>
    <row r="52" spans="1:18">
      <c r="A52" s="9"/>
      <c r="B52" s="235" t="str">
        <f>IF(D12&lt;+D14+D15,R11,"")</f>
        <v/>
      </c>
      <c r="C52" s="236"/>
      <c r="D52" s="236"/>
      <c r="E52" s="237"/>
      <c r="F52" s="247" t="str">
        <f>IF(D12&lt;+D14,R52,"")</f>
        <v/>
      </c>
      <c r="R52" s="1" t="s">
        <v>78</v>
      </c>
    </row>
    <row r="53" spans="1:18">
      <c r="A53" s="9"/>
      <c r="B53" s="238"/>
      <c r="C53" s="239"/>
      <c r="D53" s="239"/>
      <c r="E53" s="240"/>
      <c r="F53" s="247"/>
    </row>
    <row r="54" spans="1:18">
      <c r="A54" s="9"/>
      <c r="B54" s="241"/>
      <c r="C54" s="242"/>
      <c r="D54" s="242"/>
      <c r="E54" s="243"/>
      <c r="F54" s="247"/>
    </row>
    <row r="55" spans="1:18">
      <c r="A55" s="9"/>
      <c r="B55" s="9"/>
      <c r="C55" s="51"/>
      <c r="D55" s="51"/>
      <c r="E55" s="9"/>
      <c r="F55" s="9"/>
    </row>
    <row r="56" spans="1:18">
      <c r="A56" s="9"/>
      <c r="B56" s="9"/>
      <c r="C56" s="51"/>
      <c r="D56" s="51"/>
      <c r="E56" s="9"/>
      <c r="F56" s="9"/>
    </row>
    <row r="57" spans="1:18">
      <c r="A57" s="10" t="s">
        <v>43</v>
      </c>
      <c r="D57" s="147" t="str">
        <f xml:space="preserve"> D1</f>
        <v>1° Gennaio 2019</v>
      </c>
      <c r="E57" s="9"/>
      <c r="F57" s="9"/>
    </row>
    <row r="59" spans="1:18">
      <c r="A59" s="1" t="s">
        <v>4</v>
      </c>
      <c r="B59" s="17" t="s">
        <v>154</v>
      </c>
      <c r="C59" s="14"/>
      <c r="D59" s="14"/>
    </row>
    <row r="60" spans="1:18">
      <c r="A60" s="1"/>
      <c r="B60" s="17"/>
      <c r="C60" s="14"/>
      <c r="D60" s="14"/>
    </row>
    <row r="61" spans="1:18">
      <c r="A61" s="1"/>
      <c r="B61" s="17" t="s">
        <v>44</v>
      </c>
      <c r="C61" s="14"/>
      <c r="D61" s="14"/>
    </row>
    <row r="62" spans="1:18" ht="13.5" thickBot="1"/>
    <row r="63" spans="1:18" ht="13.5" thickBot="1">
      <c r="B63" t="s">
        <v>17</v>
      </c>
      <c r="D63" s="55">
        <f>'Cliente affidato'!$P$32</f>
        <v>55</v>
      </c>
    </row>
    <row r="64" spans="1:18" ht="13.5" thickBot="1">
      <c r="D64" s="14"/>
    </row>
    <row r="65" spans="2:5" ht="13.5" thickBot="1">
      <c r="B65" s="245" t="s">
        <v>47</v>
      </c>
      <c r="C65" s="245"/>
      <c r="D65" s="55">
        <f>'Cliente affidato'!$P$37</f>
        <v>55</v>
      </c>
    </row>
    <row r="66" spans="2:5" ht="13.5" thickBot="1">
      <c r="D66" s="14"/>
    </row>
    <row r="67" spans="2:5" ht="13.5" thickBot="1">
      <c r="B67" s="246" t="s">
        <v>41</v>
      </c>
      <c r="C67" s="246"/>
      <c r="D67" s="15">
        <f>'Cliente affidato'!$R$37</f>
        <v>36</v>
      </c>
    </row>
    <row r="68" spans="2:5" ht="13.5" thickBot="1">
      <c r="B68" s="62"/>
      <c r="C68" s="62"/>
      <c r="D68" s="8"/>
    </row>
    <row r="69" spans="2:5" ht="13.5" thickBot="1">
      <c r="B69" t="s">
        <v>68</v>
      </c>
      <c r="D69" s="150">
        <f>+'Cliente affidato'!T37</f>
        <v>0.115</v>
      </c>
    </row>
    <row r="70" spans="2:5" ht="13.5" thickBot="1">
      <c r="D70" s="14"/>
    </row>
    <row r="71" spans="2:5" ht="13.5" thickBot="1">
      <c r="B71" t="s">
        <v>48</v>
      </c>
      <c r="D71" s="55">
        <f>'Cliente affidato'!$P$40-D63</f>
        <v>4389</v>
      </c>
    </row>
    <row r="72" spans="2:5" ht="13.5" thickBot="1">
      <c r="D72" s="14"/>
    </row>
    <row r="73" spans="2:5" ht="13.5" thickBot="1">
      <c r="B73" t="s">
        <v>41</v>
      </c>
      <c r="D73" s="15">
        <f>'Cliente affidato'!$R$40</f>
        <v>30</v>
      </c>
    </row>
    <row r="74" spans="2:5" ht="13.5" thickBot="1">
      <c r="D74" s="8"/>
      <c r="E74" s="11"/>
    </row>
    <row r="75" spans="2:5">
      <c r="B75" t="s">
        <v>49</v>
      </c>
      <c r="D75" s="6">
        <f>+E130</f>
        <v>0</v>
      </c>
    </row>
    <row r="76" spans="2:5">
      <c r="B76" s="104" t="s">
        <v>107</v>
      </c>
      <c r="D76" s="124">
        <f>+E132</f>
        <v>-5.1759429547121378</v>
      </c>
    </row>
    <row r="77" spans="2:5">
      <c r="B77" t="s">
        <v>101</v>
      </c>
      <c r="D77" s="124">
        <f>+E129</f>
        <v>30.315021818848553</v>
      </c>
    </row>
    <row r="78" spans="2:5" ht="13.5" thickBot="1">
      <c r="B78" s="104" t="s">
        <v>88</v>
      </c>
      <c r="D78" s="7">
        <f>+E131</f>
        <v>0</v>
      </c>
    </row>
    <row r="79" spans="2:5" ht="13.5" thickBot="1">
      <c r="D79" s="78"/>
    </row>
    <row r="80" spans="2:5" ht="13.5" thickBot="1">
      <c r="B80" t="s">
        <v>13</v>
      </c>
      <c r="D80" s="5">
        <f>+E133</f>
        <v>25.139078864136415</v>
      </c>
    </row>
    <row r="81" spans="1:5">
      <c r="A81" s="9"/>
      <c r="B81" s="9"/>
      <c r="C81" s="9"/>
      <c r="D81" s="9"/>
      <c r="E81" s="9"/>
    </row>
    <row r="83" spans="1:5">
      <c r="B83" s="10" t="s">
        <v>45</v>
      </c>
    </row>
    <row r="85" spans="1:5">
      <c r="B85" s="10" t="s">
        <v>11</v>
      </c>
    </row>
    <row r="86" spans="1:5" ht="12.75" customHeight="1">
      <c r="B86" s="12" t="s">
        <v>10</v>
      </c>
      <c r="C86" s="13">
        <v>0.115</v>
      </c>
      <c r="D86" s="12" t="s">
        <v>5</v>
      </c>
    </row>
    <row r="87" spans="1:5">
      <c r="C87" s="16"/>
      <c r="D87" s="12"/>
    </row>
    <row r="88" spans="1:5">
      <c r="B88" s="104" t="s">
        <v>138</v>
      </c>
      <c r="C88" s="136">
        <f>+C86</f>
        <v>0.115</v>
      </c>
      <c r="D88" s="129"/>
    </row>
    <row r="89" spans="1:5">
      <c r="B89" t="s">
        <v>66</v>
      </c>
      <c r="C89" s="123">
        <f>+D69</f>
        <v>0.115</v>
      </c>
      <c r="D89" s="12"/>
    </row>
    <row r="90" spans="1:5">
      <c r="B90" t="s">
        <v>14</v>
      </c>
      <c r="C90" s="58">
        <f>+D67</f>
        <v>36</v>
      </c>
      <c r="D90" t="s">
        <v>6</v>
      </c>
      <c r="E90" s="116">
        <v>365</v>
      </c>
    </row>
    <row r="91" spans="1:5">
      <c r="B91" s="1" t="s">
        <v>71</v>
      </c>
      <c r="C91" s="44">
        <f>+D65*C89*C90/E90</f>
        <v>0.62383561643835617</v>
      </c>
    </row>
    <row r="92" spans="1:5">
      <c r="B92" s="1"/>
      <c r="C92" s="44"/>
    </row>
    <row r="93" spans="1:5">
      <c r="B93" s="105" t="s">
        <v>110</v>
      </c>
      <c r="C93" s="117">
        <v>5.0000000000000001E-3</v>
      </c>
      <c r="D93" s="104" t="s">
        <v>111</v>
      </c>
    </row>
    <row r="94" spans="1:5">
      <c r="B94" s="105" t="s">
        <v>142</v>
      </c>
      <c r="C94" s="135">
        <f>+C93</f>
        <v>5.0000000000000001E-3</v>
      </c>
      <c r="D94" s="104"/>
    </row>
    <row r="95" spans="1:5">
      <c r="B95" s="105" t="s">
        <v>112</v>
      </c>
      <c r="C95" s="120">
        <f>+C94*D63</f>
        <v>0.27500000000000002</v>
      </c>
    </row>
    <row r="97" spans="2:5">
      <c r="B97" s="10" t="s">
        <v>12</v>
      </c>
    </row>
    <row r="98" spans="2:5">
      <c r="B98" s="104" t="s">
        <v>148</v>
      </c>
      <c r="C98" s="13">
        <v>0</v>
      </c>
    </row>
    <row r="99" spans="2:5">
      <c r="B99" s="104" t="s">
        <v>149</v>
      </c>
      <c r="C99" s="13">
        <v>0</v>
      </c>
    </row>
    <row r="100" spans="2:5">
      <c r="B100" s="105" t="s">
        <v>118</v>
      </c>
      <c r="C100" s="77">
        <f>+D113-C98</f>
        <v>0.17475000000000002</v>
      </c>
      <c r="D100" s="104"/>
      <c r="E100" s="123"/>
    </row>
    <row r="101" spans="2:5">
      <c r="B101" s="105" t="s">
        <v>119</v>
      </c>
      <c r="C101" s="77">
        <f>+D114-C99</f>
        <v>0.145875</v>
      </c>
      <c r="D101" s="104"/>
      <c r="E101" s="123"/>
    </row>
    <row r="102" spans="2:5">
      <c r="B102" s="122" t="s">
        <v>117</v>
      </c>
      <c r="C102" s="77">
        <f>IF(D63&lt;=5000,C100,C101)</f>
        <v>0.17475000000000002</v>
      </c>
      <c r="D102" t="s">
        <v>5</v>
      </c>
    </row>
    <row r="103" spans="2:5">
      <c r="B103" t="s">
        <v>14</v>
      </c>
      <c r="C103" s="71">
        <f>+D73</f>
        <v>30</v>
      </c>
      <c r="D103" t="s">
        <v>6</v>
      </c>
      <c r="E103" s="116">
        <f>+E90</f>
        <v>365</v>
      </c>
    </row>
    <row r="104" spans="2:5">
      <c r="B104" s="105" t="s">
        <v>108</v>
      </c>
      <c r="C104" s="120">
        <f>+D71*C102/E103*C103</f>
        <v>63.039267123287679</v>
      </c>
    </row>
    <row r="105" spans="2:5">
      <c r="B105" s="105"/>
      <c r="C105" s="44"/>
    </row>
    <row r="106" spans="2:5">
      <c r="B106" s="104" t="s">
        <v>95</v>
      </c>
      <c r="C106" s="114">
        <v>33</v>
      </c>
      <c r="D106" s="132" t="s">
        <v>129</v>
      </c>
      <c r="E106" s="114">
        <v>500</v>
      </c>
    </row>
    <row r="107" spans="2:5">
      <c r="B107" s="105" t="s">
        <v>109</v>
      </c>
      <c r="C107" s="120">
        <f>IF(AND(D71&lt;=E106,D73&lt;=7),0,Input!C106)</f>
        <v>33</v>
      </c>
    </row>
    <row r="110" spans="2:5">
      <c r="B110" s="104" t="s">
        <v>155</v>
      </c>
      <c r="D110" s="130">
        <v>0</v>
      </c>
      <c r="E110" s="74">
        <f>IF(AND(E130=0,E129=0),0,D110)</f>
        <v>0</v>
      </c>
    </row>
    <row r="112" spans="2:5" ht="13.5" thickBot="1">
      <c r="B112" s="18" t="s">
        <v>72</v>
      </c>
      <c r="C112" s="2" t="s">
        <v>53</v>
      </c>
      <c r="D112" s="3" t="s">
        <v>54</v>
      </c>
    </row>
    <row r="113" spans="2:5">
      <c r="B113" s="1" t="s">
        <v>69</v>
      </c>
      <c r="C113" s="145">
        <v>0.10780000000000001</v>
      </c>
      <c r="D113" s="77">
        <f>IF(+C113*1.25+4%&lt;=C113+8%,C113*1.25+4%,C113+8%)</f>
        <v>0.17475000000000002</v>
      </c>
    </row>
    <row r="114" spans="2:5" ht="13.5" thickBot="1">
      <c r="B114" t="s">
        <v>70</v>
      </c>
      <c r="C114" s="146">
        <v>8.4699999999999998E-2</v>
      </c>
      <c r="D114" s="77">
        <f>IF(+C114*1.25+4%&lt;=C114+8%,C114*1.25+4%,C114+8%)</f>
        <v>0.145875</v>
      </c>
    </row>
    <row r="115" spans="2:5">
      <c r="B115" s="148" t="s">
        <v>48</v>
      </c>
      <c r="C115" s="70">
        <f>+D71</f>
        <v>4389</v>
      </c>
      <c r="D115" s="73"/>
    </row>
    <row r="116" spans="2:5">
      <c r="B116" s="148" t="s">
        <v>153</v>
      </c>
      <c r="C116" s="70">
        <f>+'Cliente affidato'!P40</f>
        <v>4444</v>
      </c>
      <c r="D116" s="73"/>
    </row>
    <row r="117" spans="2:5">
      <c r="B117" s="69" t="s">
        <v>73</v>
      </c>
      <c r="C117" s="72">
        <f>IF(IF(C116&gt;Input!D63,C116,Input!D63)&lt;=5000,D113,D114)</f>
        <v>0.17475000000000002</v>
      </c>
      <c r="D117" s="45"/>
    </row>
    <row r="118" spans="2:5" ht="13.5" customHeight="1">
      <c r="B118" s="1" t="s">
        <v>64</v>
      </c>
      <c r="C118" s="56">
        <f>IF(AND(D65&gt;0,C90&gt;0,D63&gt;0),+((C91+C104)*E103)/(D65*C90+D71*C103)+(C107*4)/IF(C116&gt;D63,C116,D63)+(C95*4)/D63,0)</f>
        <v>0.22356778511184452</v>
      </c>
      <c r="D118" s="3"/>
    </row>
    <row r="119" spans="2:5" ht="12.75" customHeight="1">
      <c r="B119" s="1" t="s">
        <v>63</v>
      </c>
      <c r="C119" s="56">
        <f>+C118-C117</f>
        <v>4.8817785111844508E-2</v>
      </c>
      <c r="D119" s="3"/>
    </row>
    <row r="120" spans="2:5">
      <c r="C120" s="1" t="s">
        <v>74</v>
      </c>
      <c r="D120" t="s">
        <v>61</v>
      </c>
    </row>
    <row r="121" spans="2:5">
      <c r="B121" s="111" t="s">
        <v>106</v>
      </c>
      <c r="C121" s="134">
        <f>IF(C119&gt;0,IF((C107-C119*D63)&gt;0,(C107-C119*D63),0),C107)</f>
        <v>30.315021818848553</v>
      </c>
      <c r="D121" s="140">
        <f>IF(C119&gt;0,((C91+C104)*E103)/(D65*D67+D71*D73)+(C121*4)/IF(C116&gt;D63,C116,D63)+(C95*4)/D63,0)</f>
        <v>0.2211510630766047</v>
      </c>
    </row>
    <row r="122" spans="2:5" ht="12.75" customHeight="1">
      <c r="B122" s="106" t="s">
        <v>140</v>
      </c>
      <c r="C122" s="134">
        <f>IF(D121&gt;C117,IF((C117*(D65*D67+D71*D73)-(C95*4+C121)/D63*(D65*D67+D71*D73)-(C104*E103))/E103&gt;0,((C117*(D65*D67+D71*D73)-(C95*4+C121)/D63*(D65*D67+D71*D73)-(C104*E103))/E103),0),C91)</f>
        <v>0</v>
      </c>
      <c r="D122" s="140">
        <f>IF(D121&gt;C117,(C122*E103+C104*E103)/(D65*D67+D71*D73)+(C95*4+C121)/D63,0)</f>
        <v>0.74334332599926678</v>
      </c>
    </row>
    <row r="123" spans="2:5" ht="12.75" customHeight="1">
      <c r="B123" s="106" t="s">
        <v>141</v>
      </c>
      <c r="C123" s="134">
        <f>IF(D122&gt;C117,IF((C117*(D65*D67+D71*D73)-(C95*4+C121)/D63*(D65*D67+D71*D73)-(C122*E103))/E103&gt;0,((C117*(D65*D67+D71*D73)-(C95*4+C121)/D63*(D65*D67+D71*D73)-(C122*E103))/E103),0),C104)</f>
        <v>0</v>
      </c>
      <c r="D123" s="140">
        <f>IF(D122&gt;C117,(C122*E103+C123*E103)/(D65*D67+D71*D73)+(C95*4+C121)/D63,0)</f>
        <v>0.57118221488815557</v>
      </c>
    </row>
    <row r="124" spans="2:5" ht="13.5" customHeight="1">
      <c r="B124" s="111" t="s">
        <v>114</v>
      </c>
      <c r="C124" s="134">
        <f>IF(D123&gt;C117,(C117*D63-C121-(C122*E103+C123*E103)/(D65*D67+D71*D73)*D63)/4,C95)</f>
        <v>-5.1759429547121378</v>
      </c>
    </row>
    <row r="125" spans="2:5" ht="12.75" customHeight="1">
      <c r="B125" s="49" t="s">
        <v>55</v>
      </c>
      <c r="C125" s="138">
        <f>+C122+C121+C123+C124</f>
        <v>25.139078864136415</v>
      </c>
      <c r="D125" s="140">
        <f>IF(C119&gt;0,(C122*E103+C123*E103)/(D65*D67+D71*D73)+(C121+C124*4)/D63,0)</f>
        <v>0.17475000000000004</v>
      </c>
    </row>
    <row r="126" spans="2:5" ht="13.5" customHeight="1">
      <c r="B126" s="50"/>
      <c r="C126" s="51"/>
      <c r="D126" s="52"/>
      <c r="E126" s="53"/>
    </row>
    <row r="127" spans="2:5" ht="12.75" customHeight="1">
      <c r="B127" s="65" t="s">
        <v>75</v>
      </c>
      <c r="C127" s="51"/>
      <c r="D127" s="52"/>
      <c r="E127" s="53"/>
    </row>
    <row r="128" spans="2:5" ht="13.5" customHeight="1">
      <c r="B128" s="54"/>
      <c r="C128" s="51" t="s">
        <v>58</v>
      </c>
      <c r="D128" s="52" t="s">
        <v>59</v>
      </c>
      <c r="E128" s="53" t="s">
        <v>60</v>
      </c>
    </row>
    <row r="129" spans="2:6" ht="12.75" customHeight="1">
      <c r="B129" s="106" t="s">
        <v>95</v>
      </c>
      <c r="C129" s="47">
        <f>+C107</f>
        <v>33</v>
      </c>
      <c r="D129" s="138">
        <f>+C121</f>
        <v>30.315021818848553</v>
      </c>
      <c r="E129" s="47">
        <f>IF(C$133&gt;D$133,D129,C129)</f>
        <v>30.315021818848553</v>
      </c>
    </row>
    <row r="130" spans="2:6" ht="13.5" customHeight="1">
      <c r="B130" s="139" t="s">
        <v>49</v>
      </c>
      <c r="C130" s="47">
        <f>+D65*C89*C90/E90</f>
        <v>0.62383561643835617</v>
      </c>
      <c r="D130" s="138">
        <f>+C122</f>
        <v>0</v>
      </c>
      <c r="E130" s="119">
        <f>IF(C$133&gt;D$133,D130,C130)</f>
        <v>0</v>
      </c>
    </row>
    <row r="131" spans="2:6" ht="12.75" customHeight="1">
      <c r="B131" s="106" t="s">
        <v>89</v>
      </c>
      <c r="C131" s="48">
        <f>+D71*C102*C103/E103</f>
        <v>63.039267123287679</v>
      </c>
      <c r="D131" s="138">
        <f>+C123</f>
        <v>0</v>
      </c>
      <c r="E131" s="119">
        <f>IF(C$133&gt;D$133,D131,C131)</f>
        <v>0</v>
      </c>
    </row>
    <row r="132" spans="2:6" ht="12.75" customHeight="1">
      <c r="B132" s="106" t="s">
        <v>113</v>
      </c>
      <c r="C132" s="47">
        <f>+C95</f>
        <v>0.27500000000000002</v>
      </c>
      <c r="D132" s="138">
        <f>+C124</f>
        <v>-5.1759429547121378</v>
      </c>
      <c r="E132" s="47">
        <f>IF(C$133&gt;D$133,D132,C132)</f>
        <v>-5.1759429547121378</v>
      </c>
    </row>
    <row r="133" spans="2:6" ht="12.75" customHeight="1">
      <c r="B133" s="74" t="s">
        <v>13</v>
      </c>
      <c r="C133" s="47">
        <f>C130+C129+C131+C132</f>
        <v>96.938102739726048</v>
      </c>
      <c r="D133" s="138">
        <f>+D130+D131+D129+D132</f>
        <v>25.139078864136415</v>
      </c>
      <c r="E133" s="47">
        <f>+E130+E131+E129+E132</f>
        <v>25.139078864136415</v>
      </c>
    </row>
    <row r="134" spans="2:6" ht="12.75" customHeight="1">
      <c r="B134" s="9"/>
      <c r="C134" s="51"/>
      <c r="D134" s="51"/>
      <c r="E134" s="51"/>
    </row>
    <row r="135" spans="2:6" ht="13.5" customHeight="1">
      <c r="B135" s="57" t="s">
        <v>65</v>
      </c>
      <c r="C135" s="51"/>
      <c r="D135" s="51"/>
      <c r="E135" s="51"/>
    </row>
    <row r="136" spans="2:6" ht="12.75" customHeight="1">
      <c r="B136" s="234" t="str">
        <f>IF(C119&gt;0,R11,"")</f>
        <v>(*) Il costo complessivo riportato qui sopra è stato ridotto in ragione degli abbattimenti che derivano dall'applicazione della Legge sull’Usura (L. 108/96).</v>
      </c>
      <c r="C136" s="234"/>
      <c r="D136" s="234"/>
      <c r="E136" s="234"/>
      <c r="F136" s="1" t="s">
        <v>78</v>
      </c>
    </row>
    <row r="137" spans="2:6" ht="13.5" customHeight="1">
      <c r="B137" s="234"/>
      <c r="C137" s="234"/>
      <c r="D137" s="234"/>
      <c r="E137" s="234"/>
      <c r="F137" t="str">
        <f>IF(C119&gt;0,F136,"(**)")</f>
        <v>(*)</v>
      </c>
    </row>
    <row r="138" spans="2:6" ht="12.75" customHeight="1">
      <c r="B138" s="234"/>
      <c r="C138" s="234"/>
      <c r="D138" s="234"/>
      <c r="E138" s="234"/>
    </row>
    <row r="139" spans="2:6" ht="12.75" customHeight="1"/>
    <row r="140" spans="2:6" ht="13.5" thickBot="1"/>
    <row r="141" spans="2:6" ht="13.5" thickBot="1">
      <c r="B141" s="10" t="s">
        <v>80</v>
      </c>
      <c r="D141" t="s">
        <v>139</v>
      </c>
      <c r="F141" s="137">
        <f>IF(D65&lt;=5000,D113,D114)</f>
        <v>0.17475000000000002</v>
      </c>
    </row>
    <row r="142" spans="2:6" ht="13.5" thickBot="1"/>
    <row r="143" spans="2:6" ht="22.5">
      <c r="B143" s="85" t="s">
        <v>81</v>
      </c>
      <c r="C143" s="86" t="s">
        <v>82</v>
      </c>
      <c r="D143" s="86" t="s">
        <v>83</v>
      </c>
      <c r="E143" s="87" t="s">
        <v>84</v>
      </c>
    </row>
    <row r="144" spans="2:6" ht="13.5" thickBot="1">
      <c r="B144" s="88" t="s">
        <v>85</v>
      </c>
      <c r="C144" s="89" t="s">
        <v>86</v>
      </c>
      <c r="D144" s="89" t="s">
        <v>85</v>
      </c>
      <c r="E144" s="90" t="s">
        <v>85</v>
      </c>
    </row>
    <row r="145" spans="2:7">
      <c r="B145" s="91">
        <f t="shared" ref="B145:B155" si="1">IF(($C$86+C145*4)&lt;E145,$C$86,E145-C145*4)</f>
        <v>0.115</v>
      </c>
      <c r="C145" s="92">
        <v>0</v>
      </c>
      <c r="D145" s="93">
        <f t="shared" ref="D145:D155" si="2">+C145*4+B145</f>
        <v>0.115</v>
      </c>
      <c r="E145" s="94">
        <f>+F141</f>
        <v>0.17475000000000002</v>
      </c>
    </row>
    <row r="146" spans="2:7">
      <c r="B146" s="95">
        <f t="shared" si="1"/>
        <v>0.115</v>
      </c>
      <c r="C146" s="96">
        <v>5.0000000000000001E-4</v>
      </c>
      <c r="D146" s="97">
        <f t="shared" si="2"/>
        <v>0.11700000000000001</v>
      </c>
      <c r="E146" s="98">
        <f>+E145</f>
        <v>0.17475000000000002</v>
      </c>
    </row>
    <row r="147" spans="2:7">
      <c r="B147" s="95">
        <f t="shared" si="1"/>
        <v>0.115</v>
      </c>
      <c r="C147" s="96">
        <v>1E-3</v>
      </c>
      <c r="D147" s="97">
        <f t="shared" si="2"/>
        <v>0.11900000000000001</v>
      </c>
      <c r="E147" s="98">
        <f t="shared" ref="E147:E155" si="3">+E146</f>
        <v>0.17475000000000002</v>
      </c>
    </row>
    <row r="148" spans="2:7">
      <c r="B148" s="95">
        <f t="shared" si="1"/>
        <v>0.115</v>
      </c>
      <c r="C148" s="96">
        <v>1.5E-3</v>
      </c>
      <c r="D148" s="97">
        <f t="shared" si="2"/>
        <v>0.12100000000000001</v>
      </c>
      <c r="E148" s="98">
        <f t="shared" si="3"/>
        <v>0.17475000000000002</v>
      </c>
    </row>
    <row r="149" spans="2:7">
      <c r="B149" s="95">
        <f t="shared" si="1"/>
        <v>0.115</v>
      </c>
      <c r="C149" s="96">
        <v>2E-3</v>
      </c>
      <c r="D149" s="97">
        <f t="shared" si="2"/>
        <v>0.123</v>
      </c>
      <c r="E149" s="98">
        <f t="shared" si="3"/>
        <v>0.17475000000000002</v>
      </c>
    </row>
    <row r="150" spans="2:7">
      <c r="B150" s="95">
        <f t="shared" si="1"/>
        <v>0.115</v>
      </c>
      <c r="C150" s="96">
        <v>2.5000000000000001E-3</v>
      </c>
      <c r="D150" s="97">
        <f t="shared" si="2"/>
        <v>0.125</v>
      </c>
      <c r="E150" s="98">
        <f t="shared" si="3"/>
        <v>0.17475000000000002</v>
      </c>
    </row>
    <row r="151" spans="2:7">
      <c r="B151" s="95">
        <f t="shared" si="1"/>
        <v>0.115</v>
      </c>
      <c r="C151" s="96">
        <v>3.0000000000000001E-3</v>
      </c>
      <c r="D151" s="97">
        <f t="shared" si="2"/>
        <v>0.127</v>
      </c>
      <c r="E151" s="98">
        <f t="shared" si="3"/>
        <v>0.17475000000000002</v>
      </c>
    </row>
    <row r="152" spans="2:7">
      <c r="B152" s="95">
        <f t="shared" si="1"/>
        <v>0.115</v>
      </c>
      <c r="C152" s="96">
        <v>3.5000000000000001E-3</v>
      </c>
      <c r="D152" s="97">
        <f t="shared" si="2"/>
        <v>0.129</v>
      </c>
      <c r="E152" s="98">
        <f t="shared" si="3"/>
        <v>0.17475000000000002</v>
      </c>
    </row>
    <row r="153" spans="2:7">
      <c r="B153" s="95">
        <f t="shared" si="1"/>
        <v>0.115</v>
      </c>
      <c r="C153" s="96">
        <v>4.0000000000000001E-3</v>
      </c>
      <c r="D153" s="97">
        <f t="shared" si="2"/>
        <v>0.13100000000000001</v>
      </c>
      <c r="E153" s="98">
        <f t="shared" si="3"/>
        <v>0.17475000000000002</v>
      </c>
    </row>
    <row r="154" spans="2:7">
      <c r="B154" s="95">
        <f t="shared" si="1"/>
        <v>0.115</v>
      </c>
      <c r="C154" s="96">
        <v>4.4999999999999997E-3</v>
      </c>
      <c r="D154" s="97">
        <f t="shared" si="2"/>
        <v>0.13300000000000001</v>
      </c>
      <c r="E154" s="98">
        <f t="shared" si="3"/>
        <v>0.17475000000000002</v>
      </c>
    </row>
    <row r="155" spans="2:7" ht="13.5" thickBot="1">
      <c r="B155" s="99">
        <f t="shared" si="1"/>
        <v>0.115</v>
      </c>
      <c r="C155" s="100">
        <v>5.0000000000000001E-3</v>
      </c>
      <c r="D155" s="101">
        <f t="shared" si="2"/>
        <v>0.13500000000000001</v>
      </c>
      <c r="E155" s="102">
        <f t="shared" si="3"/>
        <v>0.17475000000000002</v>
      </c>
    </row>
    <row r="156" spans="2:7" ht="13.5" thickBot="1"/>
    <row r="157" spans="2:7" ht="13.5" thickBot="1">
      <c r="B157" s="10" t="s">
        <v>87</v>
      </c>
      <c r="E157" s="107">
        <f>+C88</f>
        <v>0.115</v>
      </c>
    </row>
    <row r="158" spans="2:7">
      <c r="B158" s="10"/>
    </row>
    <row r="159" spans="2:7">
      <c r="B159" s="10"/>
    </row>
    <row r="160" spans="2:7">
      <c r="G160" s="144"/>
    </row>
    <row r="161" spans="7:7">
      <c r="G161" s="144"/>
    </row>
    <row r="162" spans="7:7">
      <c r="G162" s="144"/>
    </row>
    <row r="163" spans="7:7">
      <c r="G163" s="144"/>
    </row>
    <row r="164" spans="7:7">
      <c r="G164" s="144"/>
    </row>
    <row r="165" spans="7:7">
      <c r="G165" s="144"/>
    </row>
    <row r="166" spans="7:7">
      <c r="G166" s="144"/>
    </row>
    <row r="167" spans="7:7">
      <c r="G167" s="144"/>
    </row>
    <row r="168" spans="7:7">
      <c r="G168" s="144"/>
    </row>
    <row r="169" spans="7:7">
      <c r="G169" s="144"/>
    </row>
    <row r="170" spans="7:7">
      <c r="G170" s="144"/>
    </row>
    <row r="171" spans="7:7">
      <c r="G171" s="144"/>
    </row>
    <row r="172" spans="7:7">
      <c r="G172" s="144"/>
    </row>
    <row r="173" spans="7:7">
      <c r="G173" s="144"/>
    </row>
  </sheetData>
  <mergeCells count="6">
    <mergeCell ref="B136:E138"/>
    <mergeCell ref="B52:E54"/>
    <mergeCell ref="R11:V14"/>
    <mergeCell ref="B65:C65"/>
    <mergeCell ref="B67:C67"/>
    <mergeCell ref="F52:F54"/>
  </mergeCells>
  <phoneticPr fontId="2" type="noConversion"/>
  <pageMargins left="0.39370078740157483" right="0.39370078740157483" top="0.59055118110236227" bottom="0.59055118110236227" header="0.51181102362204722" footer="0.51181102362204722"/>
  <pageSetup paperSize="9" scale="80" fitToHeight="4" orientation="portrait" r:id="rId1"/>
  <headerFooter alignWithMargins="0"/>
  <rowBreaks count="2" manualBreakCount="2">
    <brk id="56" max="13" man="1"/>
    <brk id="126" max="13" man="1"/>
  </rowBreaks>
  <colBreaks count="1" manualBreakCount="1">
    <brk id="6" max="1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Intro</vt:lpstr>
      <vt:lpstr>Cliente non affidato</vt:lpstr>
      <vt:lpstr>Cliente affidato</vt:lpstr>
      <vt:lpstr>Input</vt:lpstr>
      <vt:lpstr>'Cliente affidato'!Area_stampa</vt:lpstr>
      <vt:lpstr>'Cliente non affidato'!Area_stampa</vt:lpstr>
      <vt:lpstr>Input!Area_stampa</vt:lpstr>
      <vt:lpstr>Intro!Area_stampa</vt:lpstr>
    </vt:vector>
  </TitlesOfParts>
  <Company>Sanfelice 1893 Banca Popolare Soc.Coop.p.a.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Calcolatore Online Consumatori</dc:title>
  <dc:creator>Sanfelice1893 Banca Popolare</dc:creator>
  <cp:lastPrinted>2017-01-04T08:24:02Z</cp:lastPrinted>
  <dcterms:created xsi:type="dcterms:W3CDTF">2009-11-19T11:53:08Z</dcterms:created>
  <dcterms:modified xsi:type="dcterms:W3CDTF">2019-01-22T11:39:55Z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